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graves/Dropbox/teaching/cea-workshop-vital/case-studies/"/>
    </mc:Choice>
  </mc:AlternateContent>
  <xr:revisionPtr revIDLastSave="1" documentId="13_ncr:1_{653A2142-0C73-8D41-8FB2-7450FDF22500}" xr6:coauthVersionLast="47" xr6:coauthVersionMax="47" xr10:uidLastSave="{10BB9C1E-47A9-524C-B881-7BA9C12962C2}"/>
  <bookViews>
    <workbookView xWindow="8320" yWindow="500" windowWidth="34560" windowHeight="19880" activeTab="1" xr2:uid="{9010E748-08FA-404B-91AE-F34375A9934E}"/>
  </bookViews>
  <sheets>
    <sheet name="parameters" sheetId="1" r:id="rId1"/>
    <sheet name="transition matrix " sheetId="4" r:id="rId2"/>
  </sheets>
  <definedNames>
    <definedName name="c_D">parameters!$B$19</definedName>
    <definedName name="c_H">parameters!$B$17</definedName>
    <definedName name="c_S">parameters!$B$18</definedName>
    <definedName name="c_trtA">parameters!$B$20</definedName>
    <definedName name="c_trtB">parameters!$B$21</definedName>
    <definedName name="c_trtC">parameters!$B$22</definedName>
    <definedName name="c_trtD">parameters!$B$23</definedName>
    <definedName name="c_trtE">parameters!$B$24</definedName>
    <definedName name="d_c">parameters!$B$4</definedName>
    <definedName name="d_e">parameters!$B$5</definedName>
    <definedName name="hr_HS_trtB">parameters!$B$10</definedName>
    <definedName name="hr_HS_trtC">parameters!$B$11</definedName>
    <definedName name="hr_HS_trtD">parameters!$B$12</definedName>
    <definedName name="hr_HS_trtE">parameters!$B$13</definedName>
    <definedName name="hr_S">parameters!$B$9</definedName>
    <definedName name="m_P_trtA">#REF!</definedName>
    <definedName name="m_P_trtB">#REF!</definedName>
    <definedName name="m_P_trtC">#REF!</definedName>
    <definedName name="m_P_trtD">#REF!</definedName>
    <definedName name="m_P_trtE">#REF!</definedName>
    <definedName name="n_age_init">parameters!$B$2</definedName>
    <definedName name="n_age_max">parameters!$B$3</definedName>
    <definedName name="n_cycle_length">parameters!$B$25</definedName>
    <definedName name="n_cycles">parameters!$B$42</definedName>
    <definedName name="n_sim">parameters!$B$6</definedName>
    <definedName name="r_HD">parameters!$B$8</definedName>
    <definedName name="r_HS">parameters!$B$7</definedName>
    <definedName name="r_HS_trtB">parameters!$B$38</definedName>
    <definedName name="r_HS_trtC">parameters!$B$39</definedName>
    <definedName name="r_HS_trtD">parameters!$B$40</definedName>
    <definedName name="r_HS_trtE">parameters!$B$41</definedName>
    <definedName name="r_SD">parameters!$B$37</definedName>
    <definedName name="u_D">parameters!$B$16</definedName>
    <definedName name="u_H">parameters!$B$14</definedName>
    <definedName name="u_S">parameters!$B$15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4" l="1"/>
  <c r="K22" i="4"/>
  <c r="J22" i="4"/>
  <c r="K21" i="4"/>
  <c r="J21" i="4"/>
  <c r="I21" i="4"/>
  <c r="K18" i="4"/>
  <c r="J18" i="4"/>
  <c r="K17" i="4"/>
  <c r="J17" i="4"/>
  <c r="I17" i="4"/>
  <c r="K14" i="4"/>
  <c r="J14" i="4"/>
  <c r="K13" i="4"/>
  <c r="J13" i="4"/>
  <c r="I13" i="4"/>
  <c r="K10" i="4"/>
  <c r="J10" i="4"/>
  <c r="K9" i="4"/>
  <c r="J9" i="4"/>
  <c r="I9" i="4"/>
  <c r="I5" i="4"/>
  <c r="J6" i="4"/>
  <c r="K6" i="4"/>
  <c r="K5" i="4"/>
  <c r="J5" i="4"/>
  <c r="X23" i="4"/>
  <c r="W23" i="4"/>
  <c r="V23" i="4"/>
  <c r="X22" i="4"/>
  <c r="W22" i="4"/>
  <c r="V22" i="4"/>
  <c r="X21" i="4"/>
  <c r="W21" i="4"/>
  <c r="V21" i="4"/>
  <c r="Z21" i="4" a="1"/>
  <c r="X19" i="4"/>
  <c r="W19" i="4"/>
  <c r="V19" i="4"/>
  <c r="X18" i="4"/>
  <c r="W18" i="4"/>
  <c r="V18" i="4"/>
  <c r="X17" i="4"/>
  <c r="W17" i="4"/>
  <c r="V17" i="4"/>
  <c r="X15" i="4"/>
  <c r="W15" i="4"/>
  <c r="V15" i="4"/>
  <c r="X14" i="4"/>
  <c r="W14" i="4"/>
  <c r="V14" i="4"/>
  <c r="Z13" i="4" a="1"/>
  <c r="Z13" i="4"/>
  <c r="X13" i="4"/>
  <c r="W13" i="4"/>
  <c r="V13" i="4"/>
  <c r="X11" i="4"/>
  <c r="W11" i="4"/>
  <c r="V11" i="4"/>
  <c r="X10" i="4"/>
  <c r="W10" i="4"/>
  <c r="V10" i="4"/>
  <c r="X9" i="4"/>
  <c r="W9" i="4"/>
  <c r="V9" i="4"/>
  <c r="Z9" i="4" a="1"/>
  <c r="X7" i="4"/>
  <c r="W7" i="4"/>
  <c r="V7" i="4"/>
  <c r="X6" i="4"/>
  <c r="W6" i="4"/>
  <c r="V6" i="4"/>
  <c r="Z5" i="4" a="1"/>
  <c r="Z5" i="4"/>
  <c r="AD5" i="4" a="1"/>
  <c r="X5" i="4"/>
  <c r="W5" i="4"/>
  <c r="V5" i="4"/>
  <c r="F23" i="4"/>
  <c r="F22" i="4"/>
  <c r="E22" i="4"/>
  <c r="F21" i="4"/>
  <c r="E21" i="4"/>
  <c r="D21" i="4"/>
  <c r="F18" i="4"/>
  <c r="E18" i="4"/>
  <c r="F17" i="4"/>
  <c r="E17" i="4"/>
  <c r="D17" i="4"/>
  <c r="F14" i="4"/>
  <c r="E14" i="4"/>
  <c r="F13" i="4"/>
  <c r="E13" i="4"/>
  <c r="D13" i="4"/>
  <c r="F10" i="4"/>
  <c r="E10" i="4"/>
  <c r="F9" i="4"/>
  <c r="E9" i="4"/>
  <c r="D9" i="4"/>
  <c r="F6" i="4"/>
  <c r="E6" i="4"/>
  <c r="F5" i="4"/>
  <c r="E5" i="4"/>
  <c r="D5" i="4"/>
  <c r="B42" i="1"/>
  <c r="B41" i="1"/>
  <c r="B40" i="1"/>
  <c r="B39" i="1"/>
  <c r="B38" i="1"/>
  <c r="B37" i="1"/>
  <c r="Z9" i="4"/>
  <c r="AD9" i="4" a="1"/>
  <c r="AD9" i="4"/>
  <c r="AH9" i="4" a="1"/>
  <c r="AH9" i="4"/>
  <c r="AD13" i="4" a="1"/>
  <c r="Z21" i="4"/>
  <c r="AD5" i="4"/>
  <c r="AH5" i="4" a="1"/>
  <c r="AH5" i="4"/>
  <c r="Z17" i="4" a="1"/>
  <c r="O5" i="4"/>
  <c r="O10" i="4"/>
  <c r="P11" i="4"/>
  <c r="Z17" i="4"/>
  <c r="N7" i="4"/>
  <c r="AD21" i="4" a="1"/>
  <c r="AD13" i="4"/>
  <c r="O7" i="4"/>
  <c r="N9" i="4"/>
  <c r="P9" i="4"/>
  <c r="P7" i="4"/>
  <c r="N11" i="4"/>
  <c r="P6" i="4"/>
  <c r="O6" i="4"/>
  <c r="N6" i="4"/>
  <c r="O11" i="4"/>
  <c r="P10" i="4"/>
  <c r="O9" i="4"/>
  <c r="N10" i="4"/>
  <c r="P5" i="4"/>
  <c r="AH13" i="4" a="1"/>
  <c r="AD21" i="4"/>
  <c r="AD17" i="4" a="1"/>
  <c r="AD17" i="4"/>
  <c r="AH21" i="4" a="1"/>
  <c r="AH13" i="4"/>
  <c r="N13" i="4"/>
  <c r="P13" i="4"/>
  <c r="N14" i="4"/>
  <c r="N15" i="4"/>
  <c r="O13" i="4"/>
  <c r="P14" i="4"/>
  <c r="P15" i="4"/>
  <c r="O15" i="4"/>
  <c r="O14" i="4"/>
  <c r="AH21" i="4"/>
  <c r="N21" i="4"/>
  <c r="N23" i="4"/>
  <c r="P21" i="4"/>
  <c r="P23" i="4"/>
  <c r="P22" i="4"/>
  <c r="N22" i="4"/>
  <c r="O21" i="4"/>
  <c r="O22" i="4"/>
  <c r="O23" i="4"/>
  <c r="AH17" i="4" a="1"/>
  <c r="AH17" i="4"/>
  <c r="N17" i="4"/>
  <c r="O18" i="4"/>
  <c r="O17" i="4"/>
  <c r="P18" i="4"/>
  <c r="P17" i="4"/>
  <c r="N18" i="4"/>
  <c r="O19" i="4"/>
  <c r="N19" i="4"/>
  <c r="P19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<sst xmlns="http://schemas.openxmlformats.org/spreadsheetml/2006/main" count="189" uniqueCount="136">
  <si>
    <t>param</t>
  </si>
  <si>
    <t>base_case</t>
  </si>
  <si>
    <t>formula</t>
  </si>
  <si>
    <t>description</t>
  </si>
  <si>
    <t>notes</t>
  </si>
  <si>
    <t>source</t>
  </si>
  <si>
    <t>n_age_init</t>
  </si>
  <si>
    <t>Age at baseline</t>
  </si>
  <si>
    <t xml:space="preserve">Modeling  Parameter </t>
  </si>
  <si>
    <t>n_age_max</t>
  </si>
  <si>
    <t>Maximum age of followup</t>
  </si>
  <si>
    <t>d_c</t>
  </si>
  <si>
    <t>Annual discount rate for costs</t>
  </si>
  <si>
    <t>d_e</t>
  </si>
  <si>
    <t>Annual discount rate for QALYs</t>
  </si>
  <si>
    <t>n_sim</t>
  </si>
  <si>
    <t>Number of PSA samples</t>
  </si>
  <si>
    <t>r_HS</t>
  </si>
  <si>
    <t>Annual disease onset transition rate</t>
  </si>
  <si>
    <t>r_HD</t>
  </si>
  <si>
    <t>hr_S</t>
  </si>
  <si>
    <t>Hazard ratio of death in S vs. H</t>
  </si>
  <si>
    <t>hr_HS_trtB</t>
  </si>
  <si>
    <t>Reduction in rate of disease progression (HS) as hazard ratio (HR)</t>
  </si>
  <si>
    <t>hr_HS_trtC</t>
  </si>
  <si>
    <t>Reduction in rate of disease progression (HS) as hazard ratio (HR) Treatment C</t>
  </si>
  <si>
    <t>hr_HS_trtD</t>
  </si>
  <si>
    <t>Reduction in rate of disease progression (HS) as hazard ratio (HR) Treatment D</t>
  </si>
  <si>
    <t>hr_HS_trtE</t>
  </si>
  <si>
    <t>Reduction in rate of disease progression (HS) as hazard ratio (HR) Treatment E</t>
  </si>
  <si>
    <t>u_H</t>
  </si>
  <si>
    <t>Utility weight of healthy (H)</t>
  </si>
  <si>
    <t>Leech et al. (2022)</t>
  </si>
  <si>
    <t>u_S</t>
  </si>
  <si>
    <t>Utility weight of sick (S)</t>
  </si>
  <si>
    <t>u_D</t>
  </si>
  <si>
    <t>Utility weight of death (D)</t>
  </si>
  <si>
    <t>Assumption</t>
  </si>
  <si>
    <t>c_H</t>
  </si>
  <si>
    <t>Annual cost of healthy (H)</t>
  </si>
  <si>
    <t>c_S</t>
  </si>
  <si>
    <t>Annual cost of sick (S)</t>
  </si>
  <si>
    <t>Graves et al. (2022)</t>
  </si>
  <si>
    <t>c_D</t>
  </si>
  <si>
    <t>Annual cost of death (D)</t>
  </si>
  <si>
    <t>c_trtA</t>
  </si>
  <si>
    <t>Cost of treatment A</t>
  </si>
  <si>
    <t>Martin et al. (2022)</t>
  </si>
  <si>
    <t>c_trtB</t>
  </si>
  <si>
    <t>Cost of treatment B</t>
  </si>
  <si>
    <t>c_trtC</t>
  </si>
  <si>
    <t>Cost of treatment C</t>
  </si>
  <si>
    <t>c_trtD</t>
  </si>
  <si>
    <t>Cost of treatment D</t>
  </si>
  <si>
    <t>c_trtE</t>
  </si>
  <si>
    <t>Cost of treatment E</t>
  </si>
  <si>
    <t>n_cycle_length</t>
  </si>
  <si>
    <t>Cycle length</t>
  </si>
  <si>
    <t>p_HS_trtA</t>
  </si>
  <si>
    <t>Probability of Healthy-Sick Transition - Treatment A</t>
  </si>
  <si>
    <t>Derived from embedded transition matrix</t>
  </si>
  <si>
    <t>p_HS_trtB</t>
  </si>
  <si>
    <t>Probability of Healthy-Sick Transition - Treatment B</t>
  </si>
  <si>
    <t>p_HS_trtC</t>
  </si>
  <si>
    <t>Probability of Healthy-Sick Transition - Treatment C</t>
  </si>
  <si>
    <t>p_HS_trtD</t>
  </si>
  <si>
    <t>Probability of Healthy-Sick Transition - Treatment D</t>
  </si>
  <si>
    <t>p_HS_trtE</t>
  </si>
  <si>
    <t>Probability of Healthy-Sick Transition - Treatment E</t>
  </si>
  <si>
    <t>p_HD_trtA</t>
  </si>
  <si>
    <t>Probability of Healthy-Dead Transition  - Treatment A</t>
  </si>
  <si>
    <t>p_HD_trtB</t>
  </si>
  <si>
    <t>Probability of Healthy-Dead Transition  - Treatment B</t>
  </si>
  <si>
    <t>p_HD_trtC</t>
  </si>
  <si>
    <t>Probability of Healthy-Dead Transition  - Treatment C</t>
  </si>
  <si>
    <t>p_HD_trtD</t>
  </si>
  <si>
    <t>Probability of Healthy-Dead Transition  - Treatment D</t>
  </si>
  <si>
    <t>p_HD_trtE</t>
  </si>
  <si>
    <t>Probability of Healthy-Dead Transition  - Treatment E</t>
  </si>
  <si>
    <t>p_SD</t>
  </si>
  <si>
    <t xml:space="preserve"> Probability of Sick-Dead Transition</t>
  </si>
  <si>
    <t>r_SD</t>
  </si>
  <si>
    <t>hr_S * r_HD</t>
  </si>
  <si>
    <t>Annual mortality rate (S to D)</t>
  </si>
  <si>
    <t>r_HS_trtB</t>
  </si>
  <si>
    <t>hr_HS_trtB * r_HS</t>
  </si>
  <si>
    <t>Annual disease progresstion transition rate under treatment B</t>
  </si>
  <si>
    <t>r_HS_trtC</t>
  </si>
  <si>
    <t>hr_HS_trtC * r_HS</t>
  </si>
  <si>
    <t>Annual disease progresstion transition rate under treatment C</t>
  </si>
  <si>
    <t>r_HS_trtD</t>
  </si>
  <si>
    <t>hr_HS_trtD * r_HS</t>
  </si>
  <si>
    <t>Annual disease progresstion transition rate under treatment D</t>
  </si>
  <si>
    <t>r_HS_trtE</t>
  </si>
  <si>
    <t>hr_HS_trtE * r_HS</t>
  </si>
  <si>
    <t>Annual disease progresstion transition rate under treatment E</t>
  </si>
  <si>
    <t>n_cycles</t>
  </si>
  <si>
    <t>(n_age_max - n_age_init)</t>
  </si>
  <si>
    <t>Time horizon</t>
  </si>
  <si>
    <t>Transition Rate Matrix</t>
  </si>
  <si>
    <t>Rate Matrix ^ 1</t>
  </si>
  <si>
    <t>Rate Matrix ^2</t>
  </si>
  <si>
    <t>Rate Matrix ^3</t>
  </si>
  <si>
    <t>Rate Matrix ^4</t>
  </si>
  <si>
    <t>strategy</t>
  </si>
  <si>
    <t>from</t>
  </si>
  <si>
    <t>Healthy</t>
  </si>
  <si>
    <t>Sick</t>
  </si>
  <si>
    <t>Dead</t>
  </si>
  <si>
    <t>A</t>
  </si>
  <si>
    <t>B</t>
  </si>
  <si>
    <t>Sicker</t>
  </si>
  <si>
    <t>C</t>
  </si>
  <si>
    <t>D</t>
  </si>
  <si>
    <t>E</t>
  </si>
  <si>
    <t>m_P_trtA</t>
  </si>
  <si>
    <t>m_P_trtB</t>
  </si>
  <si>
    <t>m_P_trtC</t>
  </si>
  <si>
    <t>m_P_trtD</t>
  </si>
  <si>
    <t>m_P_trtE</t>
  </si>
  <si>
    <t>Option 1. Rate-to-Probability Conversion Formulas</t>
  </si>
  <si>
    <t xml:space="preserve">Transition Probability Matrix </t>
  </si>
  <si>
    <t>m_P_trtA_opt1</t>
  </si>
  <si>
    <t>m_P_trtB_opt1</t>
  </si>
  <si>
    <t>m_P_trtC_opt1</t>
  </si>
  <si>
    <t>m_P_trtD_opt1</t>
  </si>
  <si>
    <t>m_P_trtE_opt1</t>
  </si>
  <si>
    <t>Step 0: FILL OUT THIS SECTION</t>
  </si>
  <si>
    <t>Option 2. Embedded from Rate Matrix. Note: THESE CELLS WILL CALCULATE AUTOMATICALLY</t>
  </si>
  <si>
    <t xml:space="preserve">Option 2 Inputs: FILL OUT THIS SECTION </t>
  </si>
  <si>
    <t>Binary Matrix (No Need to Edit)</t>
  </si>
  <si>
    <t>KEY</t>
  </si>
  <si>
    <t>Cell you should complete</t>
  </si>
  <si>
    <t>Cell that is a function of other cells (you can also manually enter a value)</t>
  </si>
  <si>
    <t>Cell value will automatically generate</t>
  </si>
  <si>
    <t>Annual background mortality transition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</si>
</sst>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0000"/>
    <numFmt numFmtId="165" formatCode="0.0000"/>
    <numFmt numFmtId="166" formatCode="0.00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0" xfId="0" applyFont="1" applyFill="1"/>
    <xf numFmtId="0" fontId="0" fillId="2" borderId="0" xfId="0" applyFill="1"/>
    <xf numFmtId="0" fontId="0" fillId="3" borderId="2" xfId="0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2" borderId="0" xfId="0" applyFill="1" applyAlignment="1">
      <alignment wrapText="1"/>
    </xf>
    <xf numFmtId="0" fontId="1" fillId="2" borderId="3" xfId="0" applyFont="1" applyFill="1" applyBorder="1"/>
    <xf numFmtId="0" fontId="0" fillId="2" borderId="3" xfId="0" applyFill="1" applyBorder="1"/>
    <xf numFmtId="49" fontId="1" fillId="2" borderId="3" xfId="0" applyNumberFormat="1" applyFont="1" applyFill="1" applyBorder="1"/>
    <xf numFmtId="0" fontId="1" fillId="2" borderId="3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49" fontId="1" fillId="2" borderId="3" xfId="0" applyNumberFormat="1" applyFont="1" applyFill="1" applyBorder="1" applyAlignment="1">
      <alignment wrapText="1"/>
    </xf>
    <xf numFmtId="164" fontId="0" fillId="2" borderId="0" xfId="0" applyNumberFormat="1" applyFill="1"/>
    <xf numFmtId="49" fontId="0" fillId="2" borderId="0" xfId="0" applyNumberFormat="1" applyFill="1"/>
    <xf numFmtId="0" fontId="0" fillId="6" borderId="2" xfId="0" applyFill="1" applyBorder="1"/>
    <xf numFmtId="49" fontId="0" fillId="2" borderId="0" xfId="0" applyNumberFormat="1" applyFill="1" applyAlignment="1">
      <alignment wrapText="1"/>
    </xf>
    <xf numFmtId="1" fontId="0" fillId="2" borderId="2" xfId="0" applyNumberFormat="1" applyFill="1" applyBorder="1"/>
    <xf numFmtId="166" fontId="0" fillId="2" borderId="0" xfId="0" applyNumberFormat="1" applyFill="1"/>
    <xf numFmtId="49" fontId="1" fillId="2" borderId="0" xfId="0" applyNumberFormat="1" applyFont="1" applyFill="1"/>
    <xf numFmtId="165" fontId="0" fillId="2" borderId="0" xfId="0" applyNumberFormat="1" applyFill="1"/>
    <xf numFmtId="0" fontId="4" fillId="8" borderId="4" xfId="0" applyFont="1" applyFill="1" applyBorder="1"/>
    <xf numFmtId="0" fontId="3" fillId="8" borderId="5" xfId="0" applyFont="1" applyFill="1" applyBorder="1"/>
    <xf numFmtId="0" fontId="3" fillId="8" borderId="6" xfId="0" applyFont="1" applyFill="1" applyBorder="1"/>
    <xf numFmtId="0" fontId="0" fillId="2" borderId="7" xfId="0" applyFill="1" applyBorder="1" applyAlignment="1">
      <alignment wrapText="1"/>
    </xf>
    <xf numFmtId="49" fontId="1" fillId="2" borderId="7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wrapText="1"/>
    </xf>
    <xf numFmtId="49" fontId="0" fillId="2" borderId="7" xfId="0" applyNumberFormat="1" applyFill="1" applyBorder="1" applyAlignment="1">
      <alignment wrapText="1"/>
    </xf>
    <xf numFmtId="165" fontId="0" fillId="6" borderId="2" xfId="0" applyNumberFormat="1" applyFill="1" applyBorder="1"/>
    <xf numFmtId="165" fontId="0" fillId="6" borderId="10" xfId="0" applyNumberFormat="1" applyFill="1" applyBorder="1"/>
    <xf numFmtId="165" fontId="0" fillId="2" borderId="9" xfId="0" applyNumberFormat="1" applyFill="1" applyBorder="1"/>
    <xf numFmtId="49" fontId="0" fillId="2" borderId="11" xfId="0" applyNumberFormat="1" applyFill="1" applyBorder="1" applyAlignment="1">
      <alignment wrapText="1"/>
    </xf>
    <xf numFmtId="165" fontId="0" fillId="6" borderId="1" xfId="0" applyNumberFormat="1" applyFill="1" applyBorder="1"/>
    <xf numFmtId="165" fontId="0" fillId="6" borderId="12" xfId="0" applyNumberFormat="1" applyFill="1" applyBorder="1"/>
    <xf numFmtId="0" fontId="1" fillId="2" borderId="14" xfId="0" applyFont="1" applyFill="1" applyBorder="1"/>
    <xf numFmtId="0" fontId="0" fillId="2" borderId="8" xfId="0" applyFill="1" applyBorder="1"/>
    <xf numFmtId="49" fontId="1" fillId="2" borderId="14" xfId="0" applyNumberFormat="1" applyFont="1" applyFill="1" applyBorder="1"/>
    <xf numFmtId="0" fontId="1" fillId="2" borderId="9" xfId="0" applyFont="1" applyFill="1" applyBorder="1" applyAlignment="1">
      <alignment wrapText="1"/>
    </xf>
    <xf numFmtId="0" fontId="0" fillId="2" borderId="7" xfId="0" applyFill="1" applyBorder="1"/>
    <xf numFmtId="0" fontId="0" fillId="2" borderId="9" xfId="0" applyFill="1" applyBorder="1"/>
    <xf numFmtId="49" fontId="0" fillId="2" borderId="7" xfId="0" applyNumberFormat="1" applyFill="1" applyBorder="1" applyAlignment="1">
      <alignment horizontal="right"/>
    </xf>
    <xf numFmtId="0" fontId="0" fillId="3" borderId="2" xfId="0" applyFill="1" applyBorder="1"/>
    <xf numFmtId="0" fontId="0" fillId="3" borderId="10" xfId="0" applyFill="1" applyBorder="1"/>
    <xf numFmtId="165" fontId="0" fillId="9" borderId="2" xfId="0" applyNumberFormat="1" applyFill="1" applyBorder="1"/>
    <xf numFmtId="165" fontId="0" fillId="9" borderId="10" xfId="0" applyNumberFormat="1" applyFill="1" applyBorder="1"/>
    <xf numFmtId="166" fontId="0" fillId="3" borderId="15" xfId="0" applyNumberFormat="1" applyFill="1" applyBorder="1"/>
    <xf numFmtId="166" fontId="0" fillId="3" borderId="2" xfId="0" applyNumberFormat="1" applyFill="1" applyBorder="1"/>
    <xf numFmtId="11" fontId="0" fillId="3" borderId="10" xfId="0" applyNumberFormat="1" applyFill="1" applyBorder="1"/>
    <xf numFmtId="0" fontId="0" fillId="6" borderId="10" xfId="0" applyFill="1" applyBorder="1"/>
    <xf numFmtId="49" fontId="1" fillId="2" borderId="7" xfId="0" applyNumberFormat="1" applyFont="1" applyFill="1" applyBorder="1"/>
    <xf numFmtId="166" fontId="0" fillId="2" borderId="7" xfId="0" applyNumberFormat="1" applyFill="1" applyBorder="1"/>
    <xf numFmtId="11" fontId="0" fillId="2" borderId="9" xfId="0" applyNumberFormat="1" applyFill="1" applyBorder="1"/>
    <xf numFmtId="0" fontId="0" fillId="2" borderId="9" xfId="0" applyFill="1" applyBorder="1" applyAlignment="1">
      <alignment wrapText="1"/>
    </xf>
    <xf numFmtId="49" fontId="0" fillId="2" borderId="7" xfId="0" applyNumberFormat="1" applyFill="1" applyBorder="1"/>
    <xf numFmtId="49" fontId="0" fillId="2" borderId="11" xfId="0" applyNumberFormat="1" applyFill="1" applyBorder="1" applyAlignment="1">
      <alignment horizontal="right"/>
    </xf>
    <xf numFmtId="0" fontId="0" fillId="3" borderId="1" xfId="0" applyFill="1" applyBorder="1"/>
    <xf numFmtId="0" fontId="0" fillId="6" borderId="12" xfId="0" applyFill="1" applyBorder="1"/>
    <xf numFmtId="165" fontId="0" fillId="9" borderId="1" xfId="0" applyNumberFormat="1" applyFill="1" applyBorder="1"/>
    <xf numFmtId="165" fontId="0" fillId="9" borderId="12" xfId="0" applyNumberFormat="1" applyFill="1" applyBorder="1"/>
    <xf numFmtId="166" fontId="0" fillId="3" borderId="16" xfId="0" applyNumberFormat="1" applyFill="1" applyBorder="1"/>
    <xf numFmtId="166" fontId="0" fillId="3" borderId="1" xfId="0" applyNumberFormat="1" applyFill="1" applyBorder="1"/>
    <xf numFmtId="166" fontId="0" fillId="2" borderId="17" xfId="0" applyNumberFormat="1" applyFill="1" applyBorder="1"/>
    <xf numFmtId="11" fontId="0" fillId="3" borderId="12" xfId="0" applyNumberFormat="1" applyFill="1" applyBorder="1"/>
    <xf numFmtId="0" fontId="0" fillId="2" borderId="0" xfId="0" applyFill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8" borderId="13" xfId="0" applyFont="1" applyFill="1" applyBorder="1" applyAlignment="1">
      <alignment horizontal="left"/>
    </xf>
    <xf numFmtId="0" fontId="4" fillId="8" borderId="5" xfId="0" applyFont="1" applyFill="1" applyBorder="1" applyAlignment="1">
      <alignment horizontal="left"/>
    </xf>
    <xf numFmtId="0" fontId="4" fillId="8" borderId="6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24</xdr:row>
      <xdr:rowOff>0</xdr:rowOff>
    </xdr:from>
    <xdr:to>
      <xdr:col>10</xdr:col>
      <xdr:colOff>890411</xdr:colOff>
      <xdr:row>32</xdr:row>
      <xdr:rowOff>115711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DE2D85-CFA5-B7B9-B558-04D24A2A0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3148" y="5174074"/>
          <a:ext cx="4559300" cy="219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DF70-2728-334C-AF35-560BCA907F7E}">
  <dimension ref="A1:F42"/>
  <sheetViews>
    <sheetView zoomScale="95" zoomScaleNormal="95" workbookViewId="0">
      <selection activeCell="D12" sqref="D12"/>
    </sheetView>
  </sheetViews>
  <sheetFormatPr defaultColWidth="10.8515625" defaultRowHeight="15" x14ac:dyDescent="0.2"/>
  <cols>
    <col min="1" max="1" width="12.9453125" style="3" customWidth="1"/>
    <col min="2" max="2" width="21.82421875" style="3" customWidth="1"/>
    <col min="3" max="3" width="21.33203125" style="3" customWidth="1"/>
    <col min="4" max="4" width="64.61328125" style="3" customWidth="1"/>
    <col min="5" max="5" width="36.62109375" style="3" customWidth="1"/>
    <col min="6" max="6" width="19.8515625" style="3" customWidth="1"/>
    <col min="7" max="16384" width="10.8515625" style="3"/>
  </cols>
  <sheetData>
    <row r="1" spans="1:6" ht="15.75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">
      <c r="A2" s="4" t="s">
        <v>6</v>
      </c>
      <c r="B2" s="4">
        <v>25</v>
      </c>
      <c r="C2" s="4"/>
      <c r="D2" s="4" t="s">
        <v>7</v>
      </c>
      <c r="E2" s="4"/>
      <c r="F2" s="4" t="s">
        <v>8</v>
      </c>
    </row>
    <row r="3" spans="1:6" x14ac:dyDescent="0.2">
      <c r="A3" s="4" t="s">
        <v>9</v>
      </c>
      <c r="B3" s="4">
        <v>100</v>
      </c>
      <c r="C3" s="4"/>
      <c r="D3" s="4" t="s">
        <v>10</v>
      </c>
      <c r="E3" s="4"/>
      <c r="F3" s="4" t="s">
        <v>8</v>
      </c>
    </row>
    <row r="4" spans="1:6" x14ac:dyDescent="0.2">
      <c r="A4" s="4" t="s">
        <v>11</v>
      </c>
      <c r="B4" s="4">
        <v>0.03</v>
      </c>
      <c r="C4" s="4"/>
      <c r="D4" s="4" t="s">
        <v>12</v>
      </c>
      <c r="E4" s="4"/>
      <c r="F4" s="4" t="s">
        <v>8</v>
      </c>
    </row>
    <row r="5" spans="1:6" x14ac:dyDescent="0.2">
      <c r="A5" s="4" t="s">
        <v>13</v>
      </c>
      <c r="B5" s="4">
        <v>0.03</v>
      </c>
      <c r="C5" s="4"/>
      <c r="D5" s="4" t="s">
        <v>14</v>
      </c>
      <c r="E5" s="4"/>
      <c r="F5" s="4" t="s">
        <v>8</v>
      </c>
    </row>
    <row r="6" spans="1:6" x14ac:dyDescent="0.2">
      <c r="A6" s="4" t="s">
        <v>15</v>
      </c>
      <c r="B6" s="4">
        <v>1000</v>
      </c>
      <c r="C6" s="4"/>
      <c r="D6" s="4" t="s">
        <v>16</v>
      </c>
      <c r="E6" s="4"/>
      <c r="F6" s="4" t="s">
        <v>8</v>
      </c>
    </row>
    <row r="7" spans="1:6" x14ac:dyDescent="0.2">
      <c r="A7" s="4" t="s">
        <v>17</v>
      </c>
      <c r="B7" s="4">
        <v>0.15</v>
      </c>
      <c r="C7" s="4"/>
      <c r="D7" s="4" t="s">
        <v>18</v>
      </c>
      <c r="E7" s="4"/>
      <c r="F7" s="4"/>
    </row>
    <row r="8" spans="1:6" x14ac:dyDescent="0.2">
      <c r="A8" s="4" t="s">
        <v>19</v>
      </c>
      <c r="B8" s="4">
        <v>6.0000000000000001E-3</v>
      </c>
      <c r="C8" s="4"/>
      <c r="D8" s="5" t="s">
        <v>135</v>
      </c>
      <c r="E8" s="5"/>
      <c r="F8" s="4"/>
    </row>
    <row r="9" spans="1:6" x14ac:dyDescent="0.2">
      <c r="A9" s="4" t="s">
        <v>20</v>
      </c>
      <c r="B9" s="4">
        <v>3</v>
      </c>
      <c r="C9" s="4"/>
      <c r="D9" s="4" t="s">
        <v>21</v>
      </c>
      <c r="E9" s="4"/>
      <c r="F9" s="4"/>
    </row>
    <row r="10" spans="1:6" x14ac:dyDescent="0.2">
      <c r="A10" s="4" t="s">
        <v>22</v>
      </c>
      <c r="B10" s="4">
        <v>0.96</v>
      </c>
      <c r="C10" s="4"/>
      <c r="D10" s="4" t="s">
        <v>23</v>
      </c>
      <c r="E10" s="4"/>
      <c r="F10" s="4"/>
    </row>
    <row r="11" spans="1:6" x14ac:dyDescent="0.2">
      <c r="A11" s="4" t="s">
        <v>24</v>
      </c>
      <c r="B11" s="4">
        <v>0.88</v>
      </c>
      <c r="C11" s="4"/>
      <c r="D11" s="4" t="s">
        <v>25</v>
      </c>
      <c r="E11" s="4"/>
      <c r="F11" s="4"/>
    </row>
    <row r="12" spans="1:6" x14ac:dyDescent="0.2">
      <c r="A12" s="4" t="s">
        <v>26</v>
      </c>
      <c r="B12" s="4">
        <v>0.92</v>
      </c>
      <c r="C12" s="4"/>
      <c r="D12" s="4" t="s">
        <v>27</v>
      </c>
      <c r="E12" s="4"/>
      <c r="F12" s="4"/>
    </row>
    <row r="13" spans="1:6" x14ac:dyDescent="0.2">
      <c r="A13" s="4" t="s">
        <v>28</v>
      </c>
      <c r="B13" s="4">
        <v>0.92</v>
      </c>
      <c r="C13" s="4"/>
      <c r="D13" s="4" t="s">
        <v>29</v>
      </c>
      <c r="E13" s="4"/>
      <c r="F13" s="4"/>
    </row>
    <row r="14" spans="1:6" x14ac:dyDescent="0.2">
      <c r="A14" s="4" t="s">
        <v>30</v>
      </c>
      <c r="B14" s="4">
        <v>1</v>
      </c>
      <c r="C14" s="4"/>
      <c r="D14" s="4" t="s">
        <v>31</v>
      </c>
      <c r="E14" s="4"/>
      <c r="F14" s="4" t="s">
        <v>32</v>
      </c>
    </row>
    <row r="15" spans="1:6" x14ac:dyDescent="0.2">
      <c r="A15" s="4" t="s">
        <v>33</v>
      </c>
      <c r="B15" s="4">
        <v>0.75</v>
      </c>
      <c r="C15" s="4"/>
      <c r="D15" s="4" t="s">
        <v>34</v>
      </c>
      <c r="E15" s="4"/>
      <c r="F15" s="4" t="s">
        <v>32</v>
      </c>
    </row>
    <row r="16" spans="1:6" x14ac:dyDescent="0.2">
      <c r="A16" s="4" t="s">
        <v>35</v>
      </c>
      <c r="B16" s="4">
        <v>0</v>
      </c>
      <c r="C16" s="4"/>
      <c r="D16" s="4" t="s">
        <v>36</v>
      </c>
      <c r="E16" s="4"/>
      <c r="F16" s="4" t="s">
        <v>37</v>
      </c>
    </row>
    <row r="17" spans="1:6" x14ac:dyDescent="0.2">
      <c r="A17" s="4" t="s">
        <v>38</v>
      </c>
      <c r="B17" s="4">
        <v>0</v>
      </c>
      <c r="C17" s="4"/>
      <c r="D17" s="4" t="s">
        <v>39</v>
      </c>
      <c r="E17" s="4"/>
      <c r="F17" s="4" t="s">
        <v>37</v>
      </c>
    </row>
    <row r="18" spans="1:6" x14ac:dyDescent="0.2">
      <c r="A18" s="4" t="s">
        <v>40</v>
      </c>
      <c r="B18" s="4">
        <v>1000</v>
      </c>
      <c r="C18" s="4"/>
      <c r="D18" s="4" t="s">
        <v>41</v>
      </c>
      <c r="E18" s="4"/>
      <c r="F18" s="4" t="s">
        <v>42</v>
      </c>
    </row>
    <row r="19" spans="1:6" x14ac:dyDescent="0.2">
      <c r="A19" s="4" t="s">
        <v>43</v>
      </c>
      <c r="B19" s="4">
        <v>0</v>
      </c>
      <c r="C19" s="4"/>
      <c r="D19" s="4" t="s">
        <v>44</v>
      </c>
      <c r="E19" s="4"/>
      <c r="F19" s="4" t="s">
        <v>37</v>
      </c>
    </row>
    <row r="20" spans="1:6" x14ac:dyDescent="0.2">
      <c r="A20" s="4" t="s">
        <v>45</v>
      </c>
      <c r="B20" s="4">
        <v>25</v>
      </c>
      <c r="C20" s="4"/>
      <c r="D20" s="4" t="s">
        <v>46</v>
      </c>
      <c r="E20" s="4"/>
      <c r="F20" s="4" t="s">
        <v>47</v>
      </c>
    </row>
    <row r="21" spans="1:6" x14ac:dyDescent="0.2">
      <c r="A21" s="4" t="s">
        <v>48</v>
      </c>
      <c r="B21" s="4">
        <v>1000</v>
      </c>
      <c r="C21" s="4"/>
      <c r="D21" s="4" t="s">
        <v>49</v>
      </c>
      <c r="E21" s="4"/>
      <c r="F21" s="4" t="s">
        <v>37</v>
      </c>
    </row>
    <row r="22" spans="1:6" x14ac:dyDescent="0.2">
      <c r="A22" s="4" t="s">
        <v>50</v>
      </c>
      <c r="B22" s="4">
        <v>3100</v>
      </c>
      <c r="C22" s="4"/>
      <c r="D22" s="4" t="s">
        <v>51</v>
      </c>
      <c r="E22" s="4"/>
      <c r="F22" s="4" t="s">
        <v>37</v>
      </c>
    </row>
    <row r="23" spans="1:6" x14ac:dyDescent="0.2">
      <c r="A23" s="4" t="s">
        <v>52</v>
      </c>
      <c r="B23" s="4">
        <v>1550</v>
      </c>
      <c r="C23" s="4"/>
      <c r="D23" s="4" t="s">
        <v>53</v>
      </c>
      <c r="E23" s="4"/>
      <c r="F23" s="4" t="s">
        <v>37</v>
      </c>
    </row>
    <row r="24" spans="1:6" x14ac:dyDescent="0.2">
      <c r="A24" s="4" t="s">
        <v>54</v>
      </c>
      <c r="B24" s="4">
        <v>5000</v>
      </c>
      <c r="C24" s="4"/>
      <c r="D24" s="4" t="s">
        <v>55</v>
      </c>
      <c r="E24" s="4"/>
      <c r="F24" s="4" t="s">
        <v>37</v>
      </c>
    </row>
    <row r="25" spans="1:6" x14ac:dyDescent="0.2">
      <c r="A25" s="4" t="s">
        <v>56</v>
      </c>
      <c r="B25" s="4">
        <v>1</v>
      </c>
      <c r="C25" s="4"/>
      <c r="D25" s="4" t="s">
        <v>57</v>
      </c>
      <c r="E25" s="4"/>
      <c r="F25" s="4" t="s">
        <v>8</v>
      </c>
    </row>
    <row r="26" spans="1:6" x14ac:dyDescent="0.2">
      <c r="A26" s="6" t="s">
        <v>58</v>
      </c>
      <c r="B26" s="6"/>
      <c r="C26" s="6"/>
      <c r="D26" s="6" t="s">
        <v>59</v>
      </c>
      <c r="E26" s="6" t="s">
        <v>60</v>
      </c>
      <c r="F26" s="6"/>
    </row>
    <row r="27" spans="1:6" x14ac:dyDescent="0.2">
      <c r="A27" s="6" t="s">
        <v>61</v>
      </c>
      <c r="B27" s="6"/>
      <c r="C27" s="6"/>
      <c r="D27" s="6" t="s">
        <v>62</v>
      </c>
      <c r="E27" s="6" t="s">
        <v>60</v>
      </c>
      <c r="F27" s="6"/>
    </row>
    <row r="28" spans="1:6" x14ac:dyDescent="0.2">
      <c r="A28" s="6" t="s">
        <v>63</v>
      </c>
      <c r="B28" s="6"/>
      <c r="C28" s="6"/>
      <c r="D28" s="6" t="s">
        <v>64</v>
      </c>
      <c r="E28" s="6" t="s">
        <v>60</v>
      </c>
      <c r="F28" s="6"/>
    </row>
    <row r="29" spans="1:6" x14ac:dyDescent="0.2">
      <c r="A29" s="6" t="s">
        <v>65</v>
      </c>
      <c r="B29" s="6"/>
      <c r="C29" s="6"/>
      <c r="D29" s="6" t="s">
        <v>66</v>
      </c>
      <c r="E29" s="6" t="s">
        <v>60</v>
      </c>
      <c r="F29" s="6"/>
    </row>
    <row r="30" spans="1:6" x14ac:dyDescent="0.2">
      <c r="A30" s="6" t="s">
        <v>67</v>
      </c>
      <c r="B30" s="6"/>
      <c r="C30" s="6"/>
      <c r="D30" s="6" t="s">
        <v>68</v>
      </c>
      <c r="E30" s="6" t="s">
        <v>60</v>
      </c>
      <c r="F30" s="6"/>
    </row>
    <row r="31" spans="1:6" x14ac:dyDescent="0.2">
      <c r="A31" s="6" t="s">
        <v>69</v>
      </c>
      <c r="B31" s="6"/>
      <c r="C31" s="6"/>
      <c r="D31" s="6" t="s">
        <v>70</v>
      </c>
      <c r="E31" s="6" t="s">
        <v>60</v>
      </c>
      <c r="F31" s="6"/>
    </row>
    <row r="32" spans="1:6" x14ac:dyDescent="0.2">
      <c r="A32" s="6" t="s">
        <v>71</v>
      </c>
      <c r="B32" s="6"/>
      <c r="C32" s="6"/>
      <c r="D32" s="6" t="s">
        <v>72</v>
      </c>
      <c r="E32" s="6" t="s">
        <v>60</v>
      </c>
      <c r="F32" s="6"/>
    </row>
    <row r="33" spans="1:6" x14ac:dyDescent="0.2">
      <c r="A33" s="6" t="s">
        <v>73</v>
      </c>
      <c r="B33" s="6"/>
      <c r="C33" s="6"/>
      <c r="D33" s="6" t="s">
        <v>74</v>
      </c>
      <c r="E33" s="6" t="s">
        <v>60</v>
      </c>
      <c r="F33" s="6"/>
    </row>
    <row r="34" spans="1:6" x14ac:dyDescent="0.2">
      <c r="A34" s="6" t="s">
        <v>75</v>
      </c>
      <c r="B34" s="6"/>
      <c r="C34" s="6"/>
      <c r="D34" s="6" t="s">
        <v>76</v>
      </c>
      <c r="E34" s="6" t="s">
        <v>60</v>
      </c>
      <c r="F34" s="6"/>
    </row>
    <row r="35" spans="1:6" x14ac:dyDescent="0.2">
      <c r="A35" s="6" t="s">
        <v>77</v>
      </c>
      <c r="B35" s="6"/>
      <c r="C35" s="6"/>
      <c r="D35" s="6" t="s">
        <v>78</v>
      </c>
      <c r="E35" s="6" t="s">
        <v>60</v>
      </c>
      <c r="F35" s="6"/>
    </row>
    <row r="36" spans="1:6" x14ac:dyDescent="0.2">
      <c r="A36" s="6" t="s">
        <v>79</v>
      </c>
      <c r="B36" s="6"/>
      <c r="C36" s="6"/>
      <c r="D36" s="6" t="s">
        <v>80</v>
      </c>
      <c r="E36" s="6" t="s">
        <v>60</v>
      </c>
      <c r="F36" s="6"/>
    </row>
    <row r="37" spans="1:6" x14ac:dyDescent="0.2">
      <c r="A37" s="7" t="s">
        <v>81</v>
      </c>
      <c r="B37" s="8">
        <f>hr_S * r_HD</f>
        <v>1.8000000000000002E-2</v>
      </c>
      <c r="C37" s="7" t="s">
        <v>82</v>
      </c>
      <c r="D37" s="7" t="s">
        <v>83</v>
      </c>
      <c r="E37" s="7"/>
      <c r="F37" s="7"/>
    </row>
    <row r="38" spans="1:6" x14ac:dyDescent="0.2">
      <c r="A38" s="7" t="s">
        <v>84</v>
      </c>
      <c r="B38" s="8">
        <f>hr_HS_trtB * r_HS</f>
        <v>0.14399999999999999</v>
      </c>
      <c r="C38" s="7" t="s">
        <v>85</v>
      </c>
      <c r="D38" s="7" t="s">
        <v>86</v>
      </c>
      <c r="E38" s="7"/>
      <c r="F38" s="7"/>
    </row>
    <row r="39" spans="1:6" x14ac:dyDescent="0.2">
      <c r="A39" s="7" t="s">
        <v>87</v>
      </c>
      <c r="B39" s="8">
        <f>hr_HS_trtC * r_HS</f>
        <v>0.13200000000000001</v>
      </c>
      <c r="C39" s="7" t="s">
        <v>88</v>
      </c>
      <c r="D39" s="7" t="s">
        <v>89</v>
      </c>
      <c r="E39" s="7"/>
      <c r="F39" s="7"/>
    </row>
    <row r="40" spans="1:6" x14ac:dyDescent="0.2">
      <c r="A40" s="7" t="s">
        <v>90</v>
      </c>
      <c r="B40" s="8">
        <f>hr_HS_trtD * r_HS</f>
        <v>0.13800000000000001</v>
      </c>
      <c r="C40" s="7" t="s">
        <v>91</v>
      </c>
      <c r="D40" s="7" t="s">
        <v>92</v>
      </c>
      <c r="E40" s="7"/>
      <c r="F40" s="7"/>
    </row>
    <row r="41" spans="1:6" x14ac:dyDescent="0.2">
      <c r="A41" s="7" t="s">
        <v>93</v>
      </c>
      <c r="B41" s="8">
        <f>hr_HS_trtE * r_HS</f>
        <v>0.13800000000000001</v>
      </c>
      <c r="C41" s="7" t="s">
        <v>94</v>
      </c>
      <c r="D41" s="7" t="s">
        <v>95</v>
      </c>
      <c r="E41" s="7"/>
      <c r="F41" s="7"/>
    </row>
    <row r="42" spans="1:6" x14ac:dyDescent="0.2">
      <c r="A42" s="7" t="s">
        <v>96</v>
      </c>
      <c r="B42" s="8">
        <f>(n_age_max - n_age_init)</f>
        <v>75</v>
      </c>
      <c r="C42" s="7" t="s">
        <v>97</v>
      </c>
      <c r="D42" s="7" t="s">
        <v>98</v>
      </c>
      <c r="E42" s="7"/>
      <c r="F42" s="7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AFC8-809E-A543-927C-ECEC18E43F41}">
  <dimension ref="B1:AJ29"/>
  <sheetViews>
    <sheetView tabSelected="1" topLeftCell="J1" zoomScale="108" zoomScaleNormal="108" workbookViewId="0">
      <selection activeCell="N6" sqref="N6"/>
    </sheetView>
  </sheetViews>
  <sheetFormatPr defaultColWidth="10.8515625" defaultRowHeight="15" x14ac:dyDescent="0.2"/>
  <cols>
    <col min="1" max="2" width="10.8515625" style="3"/>
    <col min="3" max="3" width="15.78125" style="3" customWidth="1"/>
    <col min="4" max="6" width="11.9609375" style="9" customWidth="1"/>
    <col min="7" max="7" width="3.8203125" style="9" customWidth="1"/>
    <col min="8" max="11" width="16.02734375" style="9" customWidth="1"/>
    <col min="12" max="12" width="3.8203125" style="9" customWidth="1"/>
    <col min="13" max="13" width="12.20703125" style="9" customWidth="1"/>
    <col min="14" max="16" width="14.55078125" style="3" customWidth="1"/>
    <col min="17" max="17" width="3.8203125" style="9" customWidth="1"/>
    <col min="18" max="18" width="10.6015625" style="3" customWidth="1"/>
    <col min="19" max="16384" width="10.8515625" style="3"/>
  </cols>
  <sheetData>
    <row r="1" spans="2:36" ht="15.75" thickBot="1" x14ac:dyDescent="0.25"/>
    <row r="2" spans="2:36" ht="15.75" thickBot="1" x14ac:dyDescent="0.25">
      <c r="C2" s="70" t="s">
        <v>127</v>
      </c>
      <c r="D2" s="71"/>
      <c r="E2" s="71"/>
      <c r="F2" s="72"/>
      <c r="H2" s="25" t="s">
        <v>120</v>
      </c>
      <c r="I2" s="26"/>
      <c r="J2" s="26"/>
      <c r="K2" s="27"/>
      <c r="M2" s="25" t="s">
        <v>128</v>
      </c>
      <c r="N2" s="26"/>
      <c r="O2" s="26"/>
      <c r="P2" s="27"/>
      <c r="V2" s="70" t="s">
        <v>129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2"/>
    </row>
    <row r="3" spans="2:36" ht="36.950000000000003" customHeight="1" x14ac:dyDescent="0.2">
      <c r="C3" s="73" t="s">
        <v>99</v>
      </c>
      <c r="D3" s="74"/>
      <c r="E3" s="74"/>
      <c r="F3" s="75"/>
      <c r="H3" s="28"/>
      <c r="I3" s="76" t="s">
        <v>121</v>
      </c>
      <c r="J3" s="76"/>
      <c r="K3" s="77"/>
      <c r="M3" s="28"/>
      <c r="N3" s="76" t="s">
        <v>121</v>
      </c>
      <c r="O3" s="76"/>
      <c r="P3" s="77"/>
      <c r="R3" s="10" t="s">
        <v>130</v>
      </c>
      <c r="S3" s="11"/>
      <c r="T3" s="11"/>
      <c r="V3" s="38" t="s">
        <v>100</v>
      </c>
      <c r="W3" s="11"/>
      <c r="X3" s="11"/>
      <c r="Z3" s="10" t="s">
        <v>101</v>
      </c>
      <c r="AA3" s="11"/>
      <c r="AB3" s="11"/>
      <c r="AD3" s="10" t="s">
        <v>102</v>
      </c>
      <c r="AE3" s="11"/>
      <c r="AF3" s="11"/>
      <c r="AH3" s="10" t="s">
        <v>103</v>
      </c>
      <c r="AI3" s="11"/>
      <c r="AJ3" s="39"/>
    </row>
    <row r="4" spans="2:36" ht="17.100000000000001" customHeight="1" x14ac:dyDescent="0.2">
      <c r="B4" s="12" t="s">
        <v>104</v>
      </c>
      <c r="C4" s="40" t="s">
        <v>105</v>
      </c>
      <c r="D4" s="13" t="s">
        <v>106</v>
      </c>
      <c r="E4" s="14" t="s">
        <v>107</v>
      </c>
      <c r="F4" s="41" t="s">
        <v>108</v>
      </c>
      <c r="G4" s="15"/>
      <c r="H4" s="29"/>
      <c r="I4" s="16" t="s">
        <v>106</v>
      </c>
      <c r="J4" s="15" t="s">
        <v>107</v>
      </c>
      <c r="K4" s="30" t="s">
        <v>108</v>
      </c>
      <c r="L4" s="15"/>
      <c r="M4" s="29"/>
      <c r="N4" s="16" t="s">
        <v>106</v>
      </c>
      <c r="O4" s="15" t="s">
        <v>107</v>
      </c>
      <c r="P4" s="30" t="s">
        <v>108</v>
      </c>
      <c r="Q4" s="15"/>
      <c r="R4" s="17"/>
      <c r="V4" s="42"/>
      <c r="AJ4" s="43"/>
    </row>
    <row r="5" spans="2:36" ht="17.100000000000001" customHeight="1" x14ac:dyDescent="0.2">
      <c r="B5" s="18" t="s">
        <v>109</v>
      </c>
      <c r="C5" s="44" t="s">
        <v>106</v>
      </c>
      <c r="D5" s="19">
        <f>-(r_HS + r_HD)*n_cycle_length</f>
        <v>-0.156</v>
      </c>
      <c r="E5" s="45">
        <f>r_HS*n_cycle_length</f>
        <v>0.15</v>
      </c>
      <c r="F5" s="46">
        <f>r_HD*n_cycle_length</f>
        <v>6.0000000000000001E-3</v>
      </c>
      <c r="G5" s="20"/>
      <c r="H5" s="31" t="s">
        <v>122</v>
      </c>
      <c r="I5" s="32">
        <f>1-J5-K5</f>
        <v>0.85555919037101846</v>
      </c>
      <c r="J5" s="32">
        <f>(E5/(E5+F5))*(1-EXP(-(E5+F5)))</f>
        <v>0.13888539387402069</v>
      </c>
      <c r="K5" s="33">
        <f>(F5/(E5+F5))*(1-EXP(-(E5+F5)))</f>
        <v>5.5554157549608284E-3</v>
      </c>
      <c r="L5" s="20"/>
      <c r="M5" s="31" t="s">
        <v>115</v>
      </c>
      <c r="N5" s="47">
        <f>R5+V5+(1/FACT(2))*Z5 + (1/FACT(3))*AD5+(1/FACT(4))*AH5</f>
        <v>0.85555994070399988</v>
      </c>
      <c r="O5" s="47">
        <f t="shared" ref="O5:P5" si="0">S5+W5+(1/FACT(2))*AA5 + (1/FACT(3))*AE5+(1/FACT(4))*AI5</f>
        <v>0.13760988225000001</v>
      </c>
      <c r="P5" s="48">
        <f t="shared" si="0"/>
        <v>6.8301770459999996E-3</v>
      </c>
      <c r="Q5" s="20"/>
      <c r="R5" s="21">
        <v>1</v>
      </c>
      <c r="S5" s="21">
        <v>0</v>
      </c>
      <c r="T5" s="21">
        <v>0</v>
      </c>
      <c r="V5" s="49">
        <f t="shared" ref="V5:X7" si="1">D5</f>
        <v>-0.156</v>
      </c>
      <c r="W5" s="50">
        <f t="shared" si="1"/>
        <v>0.15</v>
      </c>
      <c r="X5" s="50">
        <f t="shared" si="1"/>
        <v>6.0000000000000001E-3</v>
      </c>
      <c r="Y5" s="22"/>
      <c r="Z5" s="50" cm="1">
        <f t="array" ref="Z5:AB7">MMULT(V5:X7,V5:X7)</f>
        <v>2.4336E-2</v>
      </c>
      <c r="AA5" s="50">
        <v>-2.6100000000000002E-2</v>
      </c>
      <c r="AB5" s="50">
        <v>1.7640000000000002E-3</v>
      </c>
      <c r="AC5" s="22"/>
      <c r="AD5" s="50" cm="1">
        <f t="array" ref="AD5:AF7">MMULT(_xlfn.ANCHORARRAY(Z5),D5:F7)</f>
        <v>-3.7964159999999999E-3</v>
      </c>
      <c r="AE5" s="50">
        <v>4.1202000000000001E-3</v>
      </c>
      <c r="AF5" s="50">
        <v>-3.2378400000000008E-4</v>
      </c>
      <c r="AG5" s="22"/>
      <c r="AH5" s="50" cm="1">
        <f t="array" ref="AH5:AJ7">MMULT(_xlfn.ANCHORARRAY(AD5),D5:F7)</f>
        <v>5.9224089599999995E-4</v>
      </c>
      <c r="AI5" s="50">
        <v>-6.4362600000000001E-4</v>
      </c>
      <c r="AJ5" s="51">
        <v>5.1385104000000015E-5</v>
      </c>
    </row>
    <row r="6" spans="2:36" x14ac:dyDescent="0.2">
      <c r="B6" s="18" t="s">
        <v>109</v>
      </c>
      <c r="C6" s="44" t="s">
        <v>107</v>
      </c>
      <c r="D6" s="45">
        <v>0</v>
      </c>
      <c r="E6" s="19">
        <f>-(hr_S * r_HD)*n_cycle_length</f>
        <v>-1.8000000000000002E-2</v>
      </c>
      <c r="F6" s="46">
        <f>hr_S * r_HD*n_cycle_length</f>
        <v>1.8000000000000002E-2</v>
      </c>
      <c r="G6" s="20"/>
      <c r="H6" s="31"/>
      <c r="I6" s="32">
        <v>0</v>
      </c>
      <c r="J6" s="32">
        <f>1-K6</f>
        <v>0.98216103235830077</v>
      </c>
      <c r="K6" s="33">
        <f>(1-EXP(-F6))</f>
        <v>1.7838967641699233E-2</v>
      </c>
      <c r="L6" s="20"/>
      <c r="M6" s="31"/>
      <c r="N6" s="47">
        <f t="shared" ref="N6:P7" si="2">R6+V6+(1/FACT(2))*Z6 + (1/FACT(3))*AD6+(1/FACT(4))*AH6</f>
        <v>0</v>
      </c>
      <c r="O6" s="47">
        <f t="shared" si="2"/>
        <v>0.98216103237399999</v>
      </c>
      <c r="P6" s="48">
        <f t="shared" si="2"/>
        <v>1.7838967626000003E-2</v>
      </c>
      <c r="Q6" s="20"/>
      <c r="R6" s="21">
        <v>0</v>
      </c>
      <c r="S6" s="21">
        <v>1</v>
      </c>
      <c r="T6" s="21">
        <v>0</v>
      </c>
      <c r="V6" s="49">
        <f t="shared" si="1"/>
        <v>0</v>
      </c>
      <c r="W6" s="50">
        <f t="shared" si="1"/>
        <v>-1.8000000000000002E-2</v>
      </c>
      <c r="X6" s="50">
        <f t="shared" si="1"/>
        <v>1.8000000000000002E-2</v>
      </c>
      <c r="Y6" s="22"/>
      <c r="Z6" s="50">
        <v>0</v>
      </c>
      <c r="AA6" s="50">
        <v>3.2400000000000007E-4</v>
      </c>
      <c r="AB6" s="50">
        <v>-3.2400000000000007E-4</v>
      </c>
      <c r="AC6" s="22"/>
      <c r="AD6" s="50">
        <v>0</v>
      </c>
      <c r="AE6" s="50">
        <v>-5.8320000000000019E-6</v>
      </c>
      <c r="AF6" s="50">
        <v>5.8320000000000019E-6</v>
      </c>
      <c r="AG6" s="22"/>
      <c r="AH6" s="50">
        <v>0</v>
      </c>
      <c r="AI6" s="50">
        <v>1.0497600000000005E-7</v>
      </c>
      <c r="AJ6" s="51">
        <v>-1.0497600000000005E-7</v>
      </c>
    </row>
    <row r="7" spans="2:36" x14ac:dyDescent="0.2">
      <c r="B7" s="18" t="s">
        <v>109</v>
      </c>
      <c r="C7" s="44" t="s">
        <v>108</v>
      </c>
      <c r="D7" s="45">
        <v>0</v>
      </c>
      <c r="E7" s="45">
        <v>0</v>
      </c>
      <c r="F7" s="52">
        <v>0</v>
      </c>
      <c r="G7" s="20"/>
      <c r="H7" s="31"/>
      <c r="I7" s="32">
        <v>0</v>
      </c>
      <c r="J7" s="32">
        <v>0</v>
      </c>
      <c r="K7" s="33">
        <v>1</v>
      </c>
      <c r="L7" s="20"/>
      <c r="M7" s="31"/>
      <c r="N7" s="47">
        <f t="shared" si="2"/>
        <v>0</v>
      </c>
      <c r="O7" s="47">
        <f t="shared" si="2"/>
        <v>0</v>
      </c>
      <c r="P7" s="48">
        <f t="shared" si="2"/>
        <v>1</v>
      </c>
      <c r="Q7" s="20"/>
      <c r="R7" s="21">
        <v>0</v>
      </c>
      <c r="S7" s="21">
        <v>0</v>
      </c>
      <c r="T7" s="21">
        <v>1</v>
      </c>
      <c r="V7" s="49">
        <f t="shared" si="1"/>
        <v>0</v>
      </c>
      <c r="W7" s="50">
        <f t="shared" si="1"/>
        <v>0</v>
      </c>
      <c r="X7" s="50">
        <f t="shared" si="1"/>
        <v>0</v>
      </c>
      <c r="Y7" s="22"/>
      <c r="Z7" s="50">
        <v>0</v>
      </c>
      <c r="AA7" s="50">
        <v>0</v>
      </c>
      <c r="AB7" s="50">
        <v>0</v>
      </c>
      <c r="AC7" s="22"/>
      <c r="AD7" s="50">
        <v>0</v>
      </c>
      <c r="AE7" s="50">
        <v>0</v>
      </c>
      <c r="AF7" s="50">
        <v>0</v>
      </c>
      <c r="AG7" s="22"/>
      <c r="AH7" s="50">
        <v>0</v>
      </c>
      <c r="AI7" s="50">
        <v>0</v>
      </c>
      <c r="AJ7" s="51">
        <v>0</v>
      </c>
    </row>
    <row r="8" spans="2:36" x14ac:dyDescent="0.2">
      <c r="B8" s="23"/>
      <c r="C8" s="53"/>
      <c r="D8" s="14"/>
      <c r="E8" s="14"/>
      <c r="F8" s="41"/>
      <c r="G8" s="15"/>
      <c r="H8" s="29"/>
      <c r="I8" s="24"/>
      <c r="J8" s="24"/>
      <c r="K8" s="34"/>
      <c r="L8" s="15"/>
      <c r="M8" s="29"/>
      <c r="N8" s="24"/>
      <c r="O8" s="24"/>
      <c r="P8" s="34"/>
      <c r="Q8" s="15"/>
      <c r="V8" s="54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55"/>
    </row>
    <row r="9" spans="2:36" x14ac:dyDescent="0.2">
      <c r="B9" s="18" t="s">
        <v>110</v>
      </c>
      <c r="C9" s="44" t="s">
        <v>106</v>
      </c>
      <c r="D9" s="19">
        <f>-(r_HS * hr_HS_trtB + r_HD)*n_cycle_length</f>
        <v>-0.15</v>
      </c>
      <c r="E9" s="45">
        <f>hr_HS_trtB * r_HS*n_cycle_length</f>
        <v>0.14399999999999999</v>
      </c>
      <c r="F9" s="46">
        <f>r_HD*n_cycle_length</f>
        <v>6.0000000000000001E-3</v>
      </c>
      <c r="G9" s="20"/>
      <c r="H9" s="31" t="s">
        <v>123</v>
      </c>
      <c r="I9" s="32">
        <f>1-J9-K9</f>
        <v>0.86070797642505792</v>
      </c>
      <c r="J9" s="32">
        <f>(E9/(E9+F9))*(1-EXP(-(E9+F9)))</f>
        <v>0.13372034263194449</v>
      </c>
      <c r="K9" s="33">
        <f>(F9/(E9+F9))*(1-EXP(-(E9+F9)))</f>
        <v>5.5716809429976876E-3</v>
      </c>
      <c r="L9" s="20"/>
      <c r="M9" s="31" t="s">
        <v>116</v>
      </c>
      <c r="N9" s="47">
        <f t="shared" ref="N9:P11" si="3">R9+V9+(1/FACT(2))*Z9 + (1/FACT(3))*AD9+(1/FACT(4))*AH9</f>
        <v>0.86070859374999997</v>
      </c>
      <c r="O9" s="47">
        <f t="shared" si="3"/>
        <v>0.132493569408</v>
      </c>
      <c r="P9" s="48">
        <f t="shared" si="3"/>
        <v>6.7978368420000008E-3</v>
      </c>
      <c r="Q9" s="20"/>
      <c r="R9" s="21">
        <v>1</v>
      </c>
      <c r="S9" s="21">
        <v>0</v>
      </c>
      <c r="T9" s="21">
        <v>0</v>
      </c>
      <c r="V9" s="49">
        <f t="shared" ref="V9:X11" si="4">D9</f>
        <v>-0.15</v>
      </c>
      <c r="W9" s="50">
        <f t="shared" si="4"/>
        <v>0.14399999999999999</v>
      </c>
      <c r="X9" s="50">
        <f t="shared" si="4"/>
        <v>6.0000000000000001E-3</v>
      </c>
      <c r="Y9" s="22"/>
      <c r="Z9" s="50" cm="1">
        <f t="array" ref="Z9:AB11">MMULT(V9:X11,V9:X11)</f>
        <v>2.2499999999999999E-2</v>
      </c>
      <c r="AA9" s="50">
        <v>-2.4191999999999998E-2</v>
      </c>
      <c r="AB9" s="50">
        <v>1.6920000000000001E-3</v>
      </c>
      <c r="AC9" s="22"/>
      <c r="AD9" s="50" cm="1">
        <f t="array" ref="AD9:AF11">MMULT(_xlfn.ANCHORARRAY(Z9),V9:X11)</f>
        <v>-3.375E-3</v>
      </c>
      <c r="AE9" s="50">
        <v>3.6754559999999997E-3</v>
      </c>
      <c r="AF9" s="50">
        <v>-3.0045600000000005E-4</v>
      </c>
      <c r="AG9" s="22"/>
      <c r="AH9" s="50" cm="1">
        <f t="array" ref="AH9:AJ11">MMULT(_xlfn.ANCHORARRAY(AD9),V9:X11)</f>
        <v>5.0624999999999997E-4</v>
      </c>
      <c r="AI9" s="50">
        <v>-5.521582079999999E-4</v>
      </c>
      <c r="AJ9" s="51">
        <v>4.5908208000000004E-5</v>
      </c>
    </row>
    <row r="10" spans="2:36" x14ac:dyDescent="0.2">
      <c r="B10" s="18" t="s">
        <v>110</v>
      </c>
      <c r="C10" s="44" t="s">
        <v>111</v>
      </c>
      <c r="D10" s="45">
        <v>0</v>
      </c>
      <c r="E10" s="19">
        <f>-(hr_S * r_HD)*n_cycle_length</f>
        <v>-1.8000000000000002E-2</v>
      </c>
      <c r="F10" s="46">
        <f>hr_S * r_HD*n_cycle_length</f>
        <v>1.8000000000000002E-2</v>
      </c>
      <c r="G10" s="20"/>
      <c r="H10" s="31"/>
      <c r="I10" s="32">
        <v>0</v>
      </c>
      <c r="J10" s="32">
        <f>1-K10</f>
        <v>0.98216103235830077</v>
      </c>
      <c r="K10" s="33">
        <f>(1-EXP(-F10))</f>
        <v>1.7838967641699233E-2</v>
      </c>
      <c r="L10" s="20"/>
      <c r="M10" s="31"/>
      <c r="N10" s="47">
        <f t="shared" si="3"/>
        <v>0</v>
      </c>
      <c r="O10" s="47">
        <f t="shared" si="3"/>
        <v>0.98216103237399999</v>
      </c>
      <c r="P10" s="48">
        <f t="shared" si="3"/>
        <v>1.7838967626000003E-2</v>
      </c>
      <c r="Q10" s="20"/>
      <c r="R10" s="21">
        <v>0</v>
      </c>
      <c r="S10" s="21">
        <v>1</v>
      </c>
      <c r="T10" s="21">
        <v>0</v>
      </c>
      <c r="V10" s="49">
        <f t="shared" si="4"/>
        <v>0</v>
      </c>
      <c r="W10" s="50">
        <f t="shared" si="4"/>
        <v>-1.8000000000000002E-2</v>
      </c>
      <c r="X10" s="50">
        <f t="shared" si="4"/>
        <v>1.8000000000000002E-2</v>
      </c>
      <c r="Y10" s="22"/>
      <c r="Z10" s="50">
        <v>0</v>
      </c>
      <c r="AA10" s="50">
        <v>3.2400000000000007E-4</v>
      </c>
      <c r="AB10" s="50">
        <v>-3.2400000000000007E-4</v>
      </c>
      <c r="AC10" s="22"/>
      <c r="AD10" s="50">
        <v>0</v>
      </c>
      <c r="AE10" s="50">
        <v>-5.8320000000000019E-6</v>
      </c>
      <c r="AF10" s="50">
        <v>5.8320000000000019E-6</v>
      </c>
      <c r="AG10" s="22"/>
      <c r="AH10" s="50">
        <v>0</v>
      </c>
      <c r="AI10" s="50">
        <v>1.0497600000000005E-7</v>
      </c>
      <c r="AJ10" s="51">
        <v>-1.0497600000000005E-7</v>
      </c>
    </row>
    <row r="11" spans="2:36" x14ac:dyDescent="0.2">
      <c r="B11" s="18" t="s">
        <v>110</v>
      </c>
      <c r="C11" s="44" t="s">
        <v>108</v>
      </c>
      <c r="D11" s="45">
        <v>0</v>
      </c>
      <c r="E11" s="45">
        <v>0</v>
      </c>
      <c r="F11" s="52">
        <v>0</v>
      </c>
      <c r="G11" s="20"/>
      <c r="H11" s="31"/>
      <c r="I11" s="32">
        <v>0</v>
      </c>
      <c r="J11" s="32">
        <v>0</v>
      </c>
      <c r="K11" s="33">
        <v>1</v>
      </c>
      <c r="L11" s="20"/>
      <c r="M11" s="31"/>
      <c r="N11" s="47">
        <f t="shared" si="3"/>
        <v>0</v>
      </c>
      <c r="O11" s="47">
        <f t="shared" si="3"/>
        <v>0</v>
      </c>
      <c r="P11" s="48">
        <f t="shared" si="3"/>
        <v>1</v>
      </c>
      <c r="Q11" s="20"/>
      <c r="R11" s="21">
        <v>0</v>
      </c>
      <c r="S11" s="21">
        <v>0</v>
      </c>
      <c r="T11" s="21">
        <v>1</v>
      </c>
      <c r="V11" s="49">
        <f t="shared" si="4"/>
        <v>0</v>
      </c>
      <c r="W11" s="50">
        <f t="shared" si="4"/>
        <v>0</v>
      </c>
      <c r="X11" s="50">
        <f t="shared" si="4"/>
        <v>0</v>
      </c>
      <c r="Y11" s="22"/>
      <c r="Z11" s="50">
        <v>0</v>
      </c>
      <c r="AA11" s="50">
        <v>0</v>
      </c>
      <c r="AB11" s="50">
        <v>0</v>
      </c>
      <c r="AC11" s="22"/>
      <c r="AD11" s="50">
        <v>0</v>
      </c>
      <c r="AE11" s="50">
        <v>0</v>
      </c>
      <c r="AF11" s="50">
        <v>0</v>
      </c>
      <c r="AG11" s="22"/>
      <c r="AH11" s="50">
        <v>0</v>
      </c>
      <c r="AI11" s="50">
        <v>0</v>
      </c>
      <c r="AJ11" s="51">
        <v>0</v>
      </c>
    </row>
    <row r="12" spans="2:36" x14ac:dyDescent="0.2">
      <c r="C12" s="44"/>
      <c r="F12" s="56"/>
      <c r="G12" s="20"/>
      <c r="H12" s="31"/>
      <c r="I12" s="24"/>
      <c r="J12" s="24"/>
      <c r="K12" s="34"/>
      <c r="L12" s="20"/>
      <c r="M12" s="31"/>
      <c r="N12" s="24"/>
      <c r="O12" s="24"/>
      <c r="P12" s="34"/>
      <c r="Q12" s="20"/>
      <c r="V12" s="54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55"/>
    </row>
    <row r="13" spans="2:36" x14ac:dyDescent="0.2">
      <c r="B13" s="18" t="s">
        <v>112</v>
      </c>
      <c r="C13" s="44" t="s">
        <v>106</v>
      </c>
      <c r="D13" s="19">
        <f>-(r_HS * hr_HS_trtC + r_HD)*n_cycle_length</f>
        <v>-0.13800000000000001</v>
      </c>
      <c r="E13" s="45">
        <f>hr_HS_trtC * r_HS*n_cycle_length</f>
        <v>0.13200000000000001</v>
      </c>
      <c r="F13" s="46">
        <f>r_HD*n_cycle_length</f>
        <v>6.0000000000000001E-3</v>
      </c>
      <c r="G13" s="20"/>
      <c r="H13" s="31" t="s">
        <v>124</v>
      </c>
      <c r="I13" s="32">
        <f>1-J13-K13</f>
        <v>0.87109869174579835</v>
      </c>
      <c r="J13" s="32">
        <f>(E13/(E13+F13))*(1-EXP(-(E13+F13)))</f>
        <v>0.12329690354749723</v>
      </c>
      <c r="K13" s="33">
        <f>(F13/(E13+F13))*(1-EXP(-(E13+F13)))</f>
        <v>5.6044047067044193E-3</v>
      </c>
      <c r="L13" s="20"/>
      <c r="M13" s="31" t="s">
        <v>117</v>
      </c>
      <c r="N13" s="47">
        <f t="shared" ref="N13:P15" si="5">R13+V13+(1/FACT(2))*Z13 + (1/FACT(3))*AD13+(1/FACT(4))*AH13</f>
        <v>0.87109909941399999</v>
      </c>
      <c r="O13" s="47">
        <f t="shared" si="5"/>
        <v>0.12216812625600001</v>
      </c>
      <c r="P13" s="48">
        <f t="shared" si="5"/>
        <v>6.7327743299999999E-3</v>
      </c>
      <c r="Q13" s="20"/>
      <c r="R13" s="21">
        <v>1</v>
      </c>
      <c r="S13" s="21">
        <v>0</v>
      </c>
      <c r="T13" s="21">
        <v>0</v>
      </c>
      <c r="V13" s="49">
        <f t="shared" ref="V13:X15" si="6">D13</f>
        <v>-0.13800000000000001</v>
      </c>
      <c r="W13" s="50">
        <f t="shared" si="6"/>
        <v>0.13200000000000001</v>
      </c>
      <c r="X13" s="50">
        <f t="shared" si="6"/>
        <v>6.0000000000000001E-3</v>
      </c>
      <c r="Y13" s="22"/>
      <c r="Z13" s="50" cm="1">
        <f t="array" ref="Z13:AB15">MMULT(V13:X15,V13:X15)</f>
        <v>1.9044000000000002E-2</v>
      </c>
      <c r="AA13" s="50">
        <v>-2.0592000000000003E-2</v>
      </c>
      <c r="AB13" s="50">
        <v>1.5480000000000003E-3</v>
      </c>
      <c r="AC13" s="22"/>
      <c r="AD13" s="50" cm="1">
        <f t="array" ref="AD13:AF15">MMULT(_xlfn.ANCHORARRAY(Z13),V13:X15)</f>
        <v>-2.6280720000000004E-3</v>
      </c>
      <c r="AE13" s="50">
        <v>2.8844640000000002E-3</v>
      </c>
      <c r="AF13" s="50">
        <v>-2.5639200000000003E-4</v>
      </c>
      <c r="AG13" s="22"/>
      <c r="AH13" s="50" cm="1">
        <f t="array" ref="AH13:AJ15">MMULT(_xlfn.ANCHORARRAY(AD13),V13:X15)</f>
        <v>3.626739360000001E-4</v>
      </c>
      <c r="AI13" s="50">
        <v>-3.9882585600000005E-4</v>
      </c>
      <c r="AJ13" s="51">
        <v>3.6151920000000003E-5</v>
      </c>
    </row>
    <row r="14" spans="2:36" x14ac:dyDescent="0.2">
      <c r="B14" s="18" t="s">
        <v>112</v>
      </c>
      <c r="C14" s="44" t="s">
        <v>111</v>
      </c>
      <c r="D14" s="45">
        <v>0</v>
      </c>
      <c r="E14" s="19">
        <f>-(hr_S * r_HD)*n_cycle_length</f>
        <v>-1.8000000000000002E-2</v>
      </c>
      <c r="F14" s="46">
        <f>hr_S * r_HD*n_cycle_length</f>
        <v>1.8000000000000002E-2</v>
      </c>
      <c r="G14" s="20"/>
      <c r="H14" s="31"/>
      <c r="I14" s="32">
        <v>0</v>
      </c>
      <c r="J14" s="32">
        <f>1-K14</f>
        <v>0.98216103235830077</v>
      </c>
      <c r="K14" s="33">
        <f>(1-EXP(-F14))</f>
        <v>1.7838967641699233E-2</v>
      </c>
      <c r="L14" s="20"/>
      <c r="M14" s="31"/>
      <c r="N14" s="47">
        <f t="shared" si="5"/>
        <v>0</v>
      </c>
      <c r="O14" s="47">
        <f t="shared" si="5"/>
        <v>0.98216103237399999</v>
      </c>
      <c r="P14" s="48">
        <f t="shared" si="5"/>
        <v>1.7838967626000003E-2</v>
      </c>
      <c r="Q14" s="20"/>
      <c r="R14" s="21">
        <v>0</v>
      </c>
      <c r="S14" s="21">
        <v>1</v>
      </c>
      <c r="T14" s="21">
        <v>0</v>
      </c>
      <c r="V14" s="49">
        <f t="shared" si="6"/>
        <v>0</v>
      </c>
      <c r="W14" s="50">
        <f t="shared" si="6"/>
        <v>-1.8000000000000002E-2</v>
      </c>
      <c r="X14" s="50">
        <f t="shared" si="6"/>
        <v>1.8000000000000002E-2</v>
      </c>
      <c r="Y14" s="22"/>
      <c r="Z14" s="50">
        <v>0</v>
      </c>
      <c r="AA14" s="50">
        <v>3.2400000000000007E-4</v>
      </c>
      <c r="AB14" s="50">
        <v>-3.2400000000000007E-4</v>
      </c>
      <c r="AC14" s="22"/>
      <c r="AD14" s="50">
        <v>0</v>
      </c>
      <c r="AE14" s="50">
        <v>-5.8320000000000019E-6</v>
      </c>
      <c r="AF14" s="50">
        <v>5.8320000000000019E-6</v>
      </c>
      <c r="AG14" s="22"/>
      <c r="AH14" s="50">
        <v>0</v>
      </c>
      <c r="AI14" s="50">
        <v>1.0497600000000005E-7</v>
      </c>
      <c r="AJ14" s="51">
        <v>-1.0497600000000005E-7</v>
      </c>
    </row>
    <row r="15" spans="2:36" x14ac:dyDescent="0.2">
      <c r="B15" s="18" t="s">
        <v>112</v>
      </c>
      <c r="C15" s="44" t="s">
        <v>108</v>
      </c>
      <c r="D15" s="45">
        <v>0</v>
      </c>
      <c r="E15" s="45">
        <v>0</v>
      </c>
      <c r="F15" s="52">
        <v>0</v>
      </c>
      <c r="G15" s="20"/>
      <c r="H15" s="31"/>
      <c r="I15" s="32">
        <v>0</v>
      </c>
      <c r="J15" s="32">
        <v>0</v>
      </c>
      <c r="K15" s="33">
        <v>1</v>
      </c>
      <c r="L15" s="20"/>
      <c r="M15" s="31"/>
      <c r="N15" s="47">
        <f t="shared" si="5"/>
        <v>0</v>
      </c>
      <c r="O15" s="47">
        <f t="shared" si="5"/>
        <v>0</v>
      </c>
      <c r="P15" s="48">
        <f t="shared" si="5"/>
        <v>1</v>
      </c>
      <c r="Q15" s="20"/>
      <c r="R15" s="21">
        <v>0</v>
      </c>
      <c r="S15" s="21">
        <v>0</v>
      </c>
      <c r="T15" s="21">
        <v>1</v>
      </c>
      <c r="V15" s="49">
        <f t="shared" si="6"/>
        <v>0</v>
      </c>
      <c r="W15" s="50">
        <f t="shared" si="6"/>
        <v>0</v>
      </c>
      <c r="X15" s="50">
        <f t="shared" si="6"/>
        <v>0</v>
      </c>
      <c r="Y15" s="22"/>
      <c r="Z15" s="50">
        <v>0</v>
      </c>
      <c r="AA15" s="50">
        <v>0</v>
      </c>
      <c r="AB15" s="50">
        <v>0</v>
      </c>
      <c r="AC15" s="22"/>
      <c r="AD15" s="50">
        <v>0</v>
      </c>
      <c r="AE15" s="50">
        <v>0</v>
      </c>
      <c r="AF15" s="50">
        <v>0</v>
      </c>
      <c r="AG15" s="22"/>
      <c r="AH15" s="50">
        <v>0</v>
      </c>
      <c r="AI15" s="50">
        <v>0</v>
      </c>
      <c r="AJ15" s="51">
        <v>0</v>
      </c>
    </row>
    <row r="16" spans="2:36" x14ac:dyDescent="0.2">
      <c r="C16" s="57"/>
      <c r="F16" s="56"/>
      <c r="G16" s="20"/>
      <c r="H16" s="31"/>
      <c r="I16" s="24"/>
      <c r="J16" s="24"/>
      <c r="K16" s="34"/>
      <c r="L16" s="20"/>
      <c r="M16" s="31"/>
      <c r="N16" s="24"/>
      <c r="O16" s="24"/>
      <c r="P16" s="34"/>
      <c r="Q16" s="20"/>
      <c r="V16" s="54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55"/>
    </row>
    <row r="17" spans="2:36" x14ac:dyDescent="0.2">
      <c r="B17" s="18" t="s">
        <v>113</v>
      </c>
      <c r="C17" s="44" t="s">
        <v>106</v>
      </c>
      <c r="D17" s="19">
        <f>-(r_HS * hr_HS_trtD + r_HD)*n_cycle_length</f>
        <v>-0.14400000000000002</v>
      </c>
      <c r="E17" s="45">
        <f>hr_HS_trtD * r_HS*n_cycle_length</f>
        <v>0.13800000000000001</v>
      </c>
      <c r="F17" s="46">
        <f>r_HD*n_cycle_length</f>
        <v>6.0000000000000001E-3</v>
      </c>
      <c r="G17" s="20"/>
      <c r="H17" s="31" t="s">
        <v>125</v>
      </c>
      <c r="I17" s="32">
        <f>1-J17-K17</f>
        <v>0.86588774805920499</v>
      </c>
      <c r="J17" s="32">
        <f>(E17/(E17+F17))*(1-EXP(-(E17+F17)))</f>
        <v>0.12852424144326188</v>
      </c>
      <c r="K17" s="33">
        <f>(F17/(E17+F17))*(1-EXP(-(E17+F17)))</f>
        <v>5.588010497533125E-3</v>
      </c>
      <c r="L17" s="20"/>
      <c r="M17" s="31" t="s">
        <v>118</v>
      </c>
      <c r="N17" s="47">
        <f t="shared" ref="N17:P19" si="7">R17+V17+(1/FACT(2))*Z17 + (1/FACT(3))*AD17+(1/FACT(4))*AH17</f>
        <v>0.86588825190400009</v>
      </c>
      <c r="O17" s="47">
        <f t="shared" si="7"/>
        <v>0.12734637861000001</v>
      </c>
      <c r="P17" s="48">
        <f t="shared" si="7"/>
        <v>6.765369486E-3</v>
      </c>
      <c r="Q17" s="20"/>
      <c r="R17" s="21">
        <v>1</v>
      </c>
      <c r="S17" s="21">
        <v>0</v>
      </c>
      <c r="T17" s="21">
        <v>0</v>
      </c>
      <c r="V17" s="49">
        <f t="shared" ref="V17:X19" si="8">D17</f>
        <v>-0.14400000000000002</v>
      </c>
      <c r="W17" s="50">
        <f t="shared" si="8"/>
        <v>0.13800000000000001</v>
      </c>
      <c r="X17" s="50">
        <f t="shared" si="8"/>
        <v>6.0000000000000001E-3</v>
      </c>
      <c r="Y17" s="22"/>
      <c r="Z17" s="50" cm="1">
        <f t="array" ref="Z17:AB19">MMULT(V17:X19,V17:X19)</f>
        <v>2.0736000000000004E-2</v>
      </c>
      <c r="AA17" s="50">
        <v>-2.2356000000000004E-2</v>
      </c>
      <c r="AB17" s="50">
        <v>1.6200000000000003E-3</v>
      </c>
      <c r="AC17" s="22"/>
      <c r="AD17" s="50" cm="1">
        <f t="array" ref="AD17:AF19">MMULT(_xlfn.ANCHORARRAY(Z17),V17:X19)</f>
        <v>-2.985984000000001E-3</v>
      </c>
      <c r="AE17" s="50">
        <v>3.2639760000000009E-3</v>
      </c>
      <c r="AF17" s="50">
        <v>-2.7799200000000013E-4</v>
      </c>
      <c r="AG17" s="22"/>
      <c r="AH17" s="50" cm="1">
        <f t="array" ref="AH17:AJ19">MMULT(_xlfn.ANCHORARRAY(AD17),V17:X19)</f>
        <v>4.2998169600000022E-4</v>
      </c>
      <c r="AI17" s="50">
        <v>-4.7081736000000019E-4</v>
      </c>
      <c r="AJ17" s="51">
        <v>4.0835664000000014E-5</v>
      </c>
    </row>
    <row r="18" spans="2:36" x14ac:dyDescent="0.2">
      <c r="B18" s="18" t="s">
        <v>113</v>
      </c>
      <c r="C18" s="44" t="s">
        <v>111</v>
      </c>
      <c r="D18" s="45">
        <v>0</v>
      </c>
      <c r="E18" s="19">
        <f>-(hr_S * r_HD)*n_cycle_length</f>
        <v>-1.8000000000000002E-2</v>
      </c>
      <c r="F18" s="46">
        <f>hr_S * r_HD*n_cycle_length</f>
        <v>1.8000000000000002E-2</v>
      </c>
      <c r="G18" s="20"/>
      <c r="H18" s="31"/>
      <c r="I18" s="32">
        <v>0</v>
      </c>
      <c r="J18" s="32">
        <f>1-K18</f>
        <v>0.98216103235830077</v>
      </c>
      <c r="K18" s="33">
        <f>(1-EXP(-F18))</f>
        <v>1.7838967641699233E-2</v>
      </c>
      <c r="L18" s="20"/>
      <c r="M18" s="31"/>
      <c r="N18" s="47">
        <f t="shared" si="7"/>
        <v>0</v>
      </c>
      <c r="O18" s="47">
        <f t="shared" si="7"/>
        <v>0.98216103237399999</v>
      </c>
      <c r="P18" s="48">
        <f t="shared" si="7"/>
        <v>1.7838967626000003E-2</v>
      </c>
      <c r="Q18" s="20"/>
      <c r="R18" s="21">
        <v>0</v>
      </c>
      <c r="S18" s="21">
        <v>1</v>
      </c>
      <c r="T18" s="21">
        <v>0</v>
      </c>
      <c r="V18" s="49">
        <f t="shared" si="8"/>
        <v>0</v>
      </c>
      <c r="W18" s="50">
        <f t="shared" si="8"/>
        <v>-1.8000000000000002E-2</v>
      </c>
      <c r="X18" s="50">
        <f t="shared" si="8"/>
        <v>1.8000000000000002E-2</v>
      </c>
      <c r="Y18" s="22"/>
      <c r="Z18" s="50">
        <v>0</v>
      </c>
      <c r="AA18" s="50">
        <v>3.2400000000000007E-4</v>
      </c>
      <c r="AB18" s="50">
        <v>-3.2400000000000007E-4</v>
      </c>
      <c r="AC18" s="22"/>
      <c r="AD18" s="50">
        <v>0</v>
      </c>
      <c r="AE18" s="50">
        <v>-5.8320000000000019E-6</v>
      </c>
      <c r="AF18" s="50">
        <v>5.8320000000000019E-6</v>
      </c>
      <c r="AG18" s="22"/>
      <c r="AH18" s="50">
        <v>0</v>
      </c>
      <c r="AI18" s="50">
        <v>1.0497600000000005E-7</v>
      </c>
      <c r="AJ18" s="51">
        <v>-1.0497600000000005E-7</v>
      </c>
    </row>
    <row r="19" spans="2:36" x14ac:dyDescent="0.2">
      <c r="B19" s="18" t="s">
        <v>113</v>
      </c>
      <c r="C19" s="44" t="s">
        <v>108</v>
      </c>
      <c r="D19" s="45">
        <v>0</v>
      </c>
      <c r="E19" s="45">
        <v>0</v>
      </c>
      <c r="F19" s="52">
        <v>0</v>
      </c>
      <c r="G19" s="20"/>
      <c r="H19" s="31"/>
      <c r="I19" s="32">
        <v>0</v>
      </c>
      <c r="J19" s="32">
        <v>0</v>
      </c>
      <c r="K19" s="33">
        <v>1</v>
      </c>
      <c r="L19" s="20"/>
      <c r="M19" s="31"/>
      <c r="N19" s="47">
        <f t="shared" si="7"/>
        <v>0</v>
      </c>
      <c r="O19" s="47">
        <f t="shared" si="7"/>
        <v>0</v>
      </c>
      <c r="P19" s="48">
        <f t="shared" si="7"/>
        <v>1</v>
      </c>
      <c r="Q19" s="20"/>
      <c r="R19" s="21">
        <v>0</v>
      </c>
      <c r="S19" s="21">
        <v>0</v>
      </c>
      <c r="T19" s="21">
        <v>1</v>
      </c>
      <c r="V19" s="49">
        <f t="shared" si="8"/>
        <v>0</v>
      </c>
      <c r="W19" s="50">
        <f t="shared" si="8"/>
        <v>0</v>
      </c>
      <c r="X19" s="50">
        <f t="shared" si="8"/>
        <v>0</v>
      </c>
      <c r="Y19" s="22"/>
      <c r="Z19" s="50">
        <v>0</v>
      </c>
      <c r="AA19" s="50">
        <v>0</v>
      </c>
      <c r="AB19" s="50">
        <v>0</v>
      </c>
      <c r="AC19" s="22"/>
      <c r="AD19" s="50">
        <v>0</v>
      </c>
      <c r="AE19" s="50">
        <v>0</v>
      </c>
      <c r="AF19" s="50">
        <v>0</v>
      </c>
      <c r="AG19" s="22"/>
      <c r="AH19" s="50">
        <v>0</v>
      </c>
      <c r="AI19" s="50">
        <v>0</v>
      </c>
      <c r="AJ19" s="51">
        <v>0</v>
      </c>
    </row>
    <row r="20" spans="2:36" x14ac:dyDescent="0.2">
      <c r="C20" s="42"/>
      <c r="F20" s="56"/>
      <c r="H20" s="28"/>
      <c r="I20" s="24"/>
      <c r="J20" s="24"/>
      <c r="K20" s="34"/>
      <c r="M20" s="28"/>
      <c r="N20" s="24"/>
      <c r="O20" s="24"/>
      <c r="P20" s="34"/>
      <c r="V20" s="54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55"/>
    </row>
    <row r="21" spans="2:36" x14ac:dyDescent="0.2">
      <c r="B21" s="18" t="s">
        <v>114</v>
      </c>
      <c r="C21" s="44" t="s">
        <v>106</v>
      </c>
      <c r="D21" s="19">
        <f>-(r_HS * hr_HS_trtE + r_HD)*n_cycle_length</f>
        <v>-0.14400000000000002</v>
      </c>
      <c r="E21" s="45">
        <f>hr_HS_trtE * r_HS*n_cycle_length</f>
        <v>0.13800000000000001</v>
      </c>
      <c r="F21" s="46">
        <f>r_HD*n_cycle_length</f>
        <v>6.0000000000000001E-3</v>
      </c>
      <c r="G21" s="20"/>
      <c r="H21" s="31" t="s">
        <v>126</v>
      </c>
      <c r="I21" s="32">
        <f>1-J21-K21</f>
        <v>0.86588774805920499</v>
      </c>
      <c r="J21" s="32">
        <f>(E21/(E21+F21))*(1-EXP(-(E21+F21)))</f>
        <v>0.12852424144326188</v>
      </c>
      <c r="K21" s="33">
        <f>(F21/(E21+F21))*(1-EXP(-(E21+F21)))</f>
        <v>5.588010497533125E-3</v>
      </c>
      <c r="L21" s="20"/>
      <c r="M21" s="31" t="s">
        <v>119</v>
      </c>
      <c r="N21" s="47">
        <f t="shared" ref="N21:P23" si="9">R21+V21+(1/FACT(2))*Z21 + (1/FACT(3))*AD21+(1/FACT(4))*AH21</f>
        <v>0.86588825190400009</v>
      </c>
      <c r="O21" s="47">
        <f t="shared" si="9"/>
        <v>0.12734637861000001</v>
      </c>
      <c r="P21" s="48">
        <f t="shared" si="9"/>
        <v>6.765369486E-3</v>
      </c>
      <c r="Q21" s="20"/>
      <c r="R21" s="21">
        <v>1</v>
      </c>
      <c r="S21" s="21">
        <v>0</v>
      </c>
      <c r="T21" s="21">
        <v>0</v>
      </c>
      <c r="V21" s="49">
        <f>D21</f>
        <v>-0.14400000000000002</v>
      </c>
      <c r="W21" s="50">
        <f t="shared" ref="W21:X23" si="10">E21</f>
        <v>0.13800000000000001</v>
      </c>
      <c r="X21" s="50">
        <f t="shared" si="10"/>
        <v>6.0000000000000001E-3</v>
      </c>
      <c r="Y21" s="22"/>
      <c r="Z21" s="50" cm="1">
        <f t="array" ref="Z21:AB23">MMULT(V21:X23,V21:X23)</f>
        <v>2.0736000000000004E-2</v>
      </c>
      <c r="AA21" s="50">
        <v>-2.2356000000000004E-2</v>
      </c>
      <c r="AB21" s="50">
        <v>1.6200000000000003E-3</v>
      </c>
      <c r="AC21" s="22"/>
      <c r="AD21" s="50" cm="1">
        <f t="array" ref="AD21:AF23">MMULT(_xlfn.ANCHORARRAY(Z21),V21:X23)</f>
        <v>-2.985984000000001E-3</v>
      </c>
      <c r="AE21" s="50">
        <v>3.2639760000000009E-3</v>
      </c>
      <c r="AF21" s="50">
        <v>-2.7799200000000013E-4</v>
      </c>
      <c r="AG21" s="22"/>
      <c r="AH21" s="50" cm="1">
        <f t="array" ref="AH21:AJ23">MMULT(_xlfn.ANCHORARRAY(AD21),V21:X23)</f>
        <v>4.2998169600000022E-4</v>
      </c>
      <c r="AI21" s="50">
        <v>-4.7081736000000019E-4</v>
      </c>
      <c r="AJ21" s="51">
        <v>4.0835664000000014E-5</v>
      </c>
    </row>
    <row r="22" spans="2:36" x14ac:dyDescent="0.2">
      <c r="B22" s="18" t="s">
        <v>114</v>
      </c>
      <c r="C22" s="44" t="s">
        <v>111</v>
      </c>
      <c r="D22" s="45">
        <v>0</v>
      </c>
      <c r="E22" s="19">
        <f>-(hr_S * r_HD)*n_cycle_length</f>
        <v>-1.8000000000000002E-2</v>
      </c>
      <c r="F22" s="46">
        <f>hr_S * r_HD*n_cycle_length</f>
        <v>1.8000000000000002E-2</v>
      </c>
      <c r="G22" s="20"/>
      <c r="H22" s="31"/>
      <c r="I22" s="32">
        <v>0</v>
      </c>
      <c r="J22" s="32">
        <f>1-K22</f>
        <v>0.98216103235830077</v>
      </c>
      <c r="K22" s="33">
        <f>(1-EXP(-F22))</f>
        <v>1.7838967641699233E-2</v>
      </c>
      <c r="L22" s="20"/>
      <c r="M22" s="31"/>
      <c r="N22" s="47">
        <f t="shared" si="9"/>
        <v>0</v>
      </c>
      <c r="O22" s="47">
        <f t="shared" si="9"/>
        <v>0.98216103237399999</v>
      </c>
      <c r="P22" s="48">
        <f t="shared" si="9"/>
        <v>1.7838967626000003E-2</v>
      </c>
      <c r="Q22" s="20"/>
      <c r="R22" s="21">
        <v>0</v>
      </c>
      <c r="S22" s="21">
        <v>1</v>
      </c>
      <c r="T22" s="21">
        <v>0</v>
      </c>
      <c r="V22" s="49">
        <f t="shared" ref="V22:V23" si="11">D22</f>
        <v>0</v>
      </c>
      <c r="W22" s="50">
        <f t="shared" si="10"/>
        <v>-1.8000000000000002E-2</v>
      </c>
      <c r="X22" s="50">
        <f t="shared" si="10"/>
        <v>1.8000000000000002E-2</v>
      </c>
      <c r="Y22" s="22"/>
      <c r="Z22" s="50">
        <v>0</v>
      </c>
      <c r="AA22" s="50">
        <v>3.2400000000000007E-4</v>
      </c>
      <c r="AB22" s="50">
        <v>-3.2400000000000007E-4</v>
      </c>
      <c r="AC22" s="22"/>
      <c r="AD22" s="50">
        <v>0</v>
      </c>
      <c r="AE22" s="50">
        <v>-5.8320000000000019E-6</v>
      </c>
      <c r="AF22" s="50">
        <v>5.8320000000000019E-6</v>
      </c>
      <c r="AG22" s="22"/>
      <c r="AH22" s="50">
        <v>0</v>
      </c>
      <c r="AI22" s="50">
        <v>1.0497600000000005E-7</v>
      </c>
      <c r="AJ22" s="51">
        <v>-1.0497600000000005E-7</v>
      </c>
    </row>
    <row r="23" spans="2:36" ht="15.75" thickBot="1" x14ac:dyDescent="0.25">
      <c r="B23" s="18" t="s">
        <v>114</v>
      </c>
      <c r="C23" s="58" t="s">
        <v>108</v>
      </c>
      <c r="D23" s="59">
        <v>0</v>
      </c>
      <c r="E23" s="59">
        <v>0</v>
      </c>
      <c r="F23" s="60">
        <f>0</f>
        <v>0</v>
      </c>
      <c r="G23" s="20"/>
      <c r="H23" s="35"/>
      <c r="I23" s="36">
        <v>0</v>
      </c>
      <c r="J23" s="36">
        <v>0</v>
      </c>
      <c r="K23" s="37">
        <v>1</v>
      </c>
      <c r="L23" s="20"/>
      <c r="M23" s="35"/>
      <c r="N23" s="61">
        <f t="shared" si="9"/>
        <v>0</v>
      </c>
      <c r="O23" s="61">
        <f t="shared" si="9"/>
        <v>0</v>
      </c>
      <c r="P23" s="62">
        <f t="shared" si="9"/>
        <v>1</v>
      </c>
      <c r="Q23" s="20"/>
      <c r="R23" s="21">
        <v>0</v>
      </c>
      <c r="S23" s="21">
        <v>0</v>
      </c>
      <c r="T23" s="21">
        <v>1</v>
      </c>
      <c r="V23" s="63">
        <f t="shared" si="11"/>
        <v>0</v>
      </c>
      <c r="W23" s="64">
        <f t="shared" si="10"/>
        <v>0</v>
      </c>
      <c r="X23" s="64">
        <f t="shared" si="10"/>
        <v>0</v>
      </c>
      <c r="Y23" s="65"/>
      <c r="Z23" s="64">
        <v>0</v>
      </c>
      <c r="AA23" s="64">
        <v>0</v>
      </c>
      <c r="AB23" s="64">
        <v>0</v>
      </c>
      <c r="AC23" s="65"/>
      <c r="AD23" s="64">
        <v>0</v>
      </c>
      <c r="AE23" s="64">
        <v>0</v>
      </c>
      <c r="AF23" s="64">
        <v>0</v>
      </c>
      <c r="AG23" s="65"/>
      <c r="AH23" s="64">
        <v>0</v>
      </c>
      <c r="AI23" s="64">
        <v>0</v>
      </c>
      <c r="AJ23" s="66">
        <v>0</v>
      </c>
    </row>
    <row r="25" spans="2:36" x14ac:dyDescent="0.2">
      <c r="C25" s="2" t="s">
        <v>131</v>
      </c>
    </row>
    <row r="26" spans="2:36" ht="24.95" customHeight="1" x14ac:dyDescent="0.2">
      <c r="C26" s="45"/>
      <c r="D26" s="68" t="s">
        <v>132</v>
      </c>
      <c r="E26" s="69"/>
      <c r="F26" s="69"/>
    </row>
    <row r="27" spans="2:36" ht="35.1" customHeight="1" x14ac:dyDescent="0.2">
      <c r="C27" s="19"/>
      <c r="D27" s="68" t="s">
        <v>133</v>
      </c>
      <c r="E27" s="69"/>
      <c r="F27" s="69"/>
    </row>
    <row r="28" spans="2:36" ht="24.95" customHeight="1" x14ac:dyDescent="0.2">
      <c r="C28" s="47"/>
      <c r="D28" s="68" t="s">
        <v>134</v>
      </c>
      <c r="E28" s="69"/>
      <c r="F28" s="69"/>
    </row>
    <row r="29" spans="2:36" x14ac:dyDescent="0.2">
      <c r="D29" s="67"/>
      <c r="E29" s="67"/>
      <c r="F29" s="67"/>
    </row>
  </sheetData>
  <mergeCells count="8">
    <mergeCell ref="D27:F27"/>
    <mergeCell ref="D28:F28"/>
    <mergeCell ref="C2:F2"/>
    <mergeCell ref="V2:AJ2"/>
    <mergeCell ref="C3:F3"/>
    <mergeCell ref="I3:K3"/>
    <mergeCell ref="N3:P3"/>
    <mergeCell ref="D26:F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30</vt:i4>
      </vt:variant>
    </vt:vector>
  </HeadingPairs>
  <TitlesOfParts>
    <vt:vector size="32" baseType="lpstr">
      <vt:lpstr>parameters</vt:lpstr>
      <vt:lpstr>transition matrix </vt:lpstr>
      <vt:lpstr>c_D</vt:lpstr>
      <vt:lpstr>c_H</vt:lpstr>
      <vt:lpstr>c_S</vt:lpstr>
      <vt:lpstr>c_trtA</vt:lpstr>
      <vt:lpstr>c_trtB</vt:lpstr>
      <vt:lpstr>c_trtC</vt:lpstr>
      <vt:lpstr>c_trtD</vt:lpstr>
      <vt:lpstr>c_trtE</vt:lpstr>
      <vt:lpstr>d_c</vt:lpstr>
      <vt:lpstr>d_e</vt:lpstr>
      <vt:lpstr>hr_HS_trtB</vt:lpstr>
      <vt:lpstr>hr_HS_trtC</vt:lpstr>
      <vt:lpstr>hr_HS_trtD</vt:lpstr>
      <vt:lpstr>hr_HS_trtE</vt:lpstr>
      <vt:lpstr>hr_S</vt:lpstr>
      <vt:lpstr>n_age_init</vt:lpstr>
      <vt:lpstr>n_age_max</vt:lpstr>
      <vt:lpstr>n_cycle_length</vt:lpstr>
      <vt:lpstr>n_cycles</vt:lpstr>
      <vt:lpstr>n_sim</vt:lpstr>
      <vt:lpstr>r_HD</vt:lpstr>
      <vt:lpstr>r_HS</vt:lpstr>
      <vt:lpstr>r_HS_trtB</vt:lpstr>
      <vt:lpstr>r_HS_trtC</vt:lpstr>
      <vt:lpstr>r_HS_trtD</vt:lpstr>
      <vt:lpstr>r_HS_trtE</vt:lpstr>
      <vt:lpstr>r_SD</vt:lpstr>
      <vt:lpstr>u_D</vt:lpstr>
      <vt:lpstr>u_H</vt:lpstr>
      <vt:lpstr>u_S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2022-08-31T18:16:38Z</dcterms:created>
  <dcterms:modified xsi:type="dcterms:W3CDTF">2022-09-29T15:20:12Z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2022-08-31T18:16:40Z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dd59f6fc-436e-4440-b16c-4accd3c848c8</vt:lpwstr>
  </property>
  <property fmtid="{D5CDD505-2E9C-101B-9397-08002B2CF9AE}" pid="8" name="MSIP_Label_792c8cef-6f2b-4af1-b4ac-d815ff795cd6_ContentBits">
    <vt:lpwstr>0</vt:lpwstr>
  </property>
</Properties>
</file>